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8_0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95" yWindow="135" windowWidth="9720" windowHeight="6465" tabRatio="859" activeTab="6"/>
  </bookViews>
  <sheets>
    <sheet name="hypotheses" sheetId="1" r:id="rId1"/>
    <sheet name="geometrie" sheetId="2" r:id="rId2"/>
    <sheet name="res1.102a" sheetId="3" r:id="rId3"/>
    <sheet name="res1.96" sheetId="4" r:id="rId4"/>
    <sheet name="res1.88" sheetId="5" r:id="rId5"/>
    <sheet name="res1.82" sheetId="6" r:id="rId6"/>
    <sheet name="res1.68a" sheetId="7" r:id="rId7"/>
    <sheet name="Barès 1.102a" sheetId="8" r:id="rId8"/>
    <sheet name="Barès 1.96" sheetId="9" r:id="rId9"/>
    <sheet name="Barès 1.88" sheetId="10" r:id="rId10"/>
    <sheet name="Barès 1.82" sheetId="11" r:id="rId11"/>
    <sheet name="Barès 1.68a" sheetId="12" r:id="rId12"/>
    <sheet name="Feuil3" sheetId="13" r:id="rId13"/>
  </sheets>
  <definedNames>
    <definedName name="P1_1.102a" localSheetId="2">'Barès 1.102a'!$B$4:$H$35</definedName>
    <definedName name="P1_1.102a">'Barès 1.102a'!$B$4:$H$35</definedName>
    <definedName name="P1_1.82" localSheetId="5">'Barès 1.82'!$C$4:$I$35</definedName>
    <definedName name="P1_1.82">'Barès 1.82'!$C$4:$I$35</definedName>
    <definedName name="P1_1.88" localSheetId="7">'Barès 1.102a'!$A$5:$H$22</definedName>
    <definedName name="P1_1.88" localSheetId="10">'Barès 1.82'!$A$5:$I$22</definedName>
    <definedName name="P1_1.88" localSheetId="8">'Barès 1.96'!$A$5:$I$22</definedName>
    <definedName name="P1_1.88">'Barès 1.88'!$A$6:$H$29</definedName>
    <definedName name="P1_1.96" localSheetId="7">'Barès 1.102a'!$B$4:$H$35</definedName>
    <definedName name="P1_1.96" localSheetId="10">'Barès 1.82'!$C$4:$I$35</definedName>
    <definedName name="P1_1.96" localSheetId="3">'Barès 1.96'!$B$4:$J$35</definedName>
    <definedName name="P1_1.96">'Barès 1.96'!$C$4:$I$35</definedName>
    <definedName name="P2_1.102a" localSheetId="2">'Barès 1.102a'!$B$35:$H$36</definedName>
    <definedName name="P2_1.102a">'Barès 1.102a'!$B$35:$H$36</definedName>
    <definedName name="P2_1.82" localSheetId="5">'Barès 1.82'!$C$35:$I$36</definedName>
    <definedName name="P2_1.82">'Barès 1.82'!$C$35:$I$36</definedName>
    <definedName name="P2_1.88" localSheetId="7">'Barès 1.102a'!$H$5:$H$22</definedName>
    <definedName name="P2_1.88" localSheetId="10">'Barès 1.82'!$I$5:$I$22</definedName>
    <definedName name="P2_1.88" localSheetId="8">'Barès 1.96'!$I$5:$I$22</definedName>
    <definedName name="P2_1.88">'Barès 1.88'!$H$6:$I$29</definedName>
    <definedName name="P2_1.96" localSheetId="7">'Barès 1.102a'!$B$35:$H$36</definedName>
    <definedName name="P2_1.96" localSheetId="10">'Barès 1.82'!$C$35:$I$36</definedName>
    <definedName name="P2_1.96" localSheetId="3">'Barès 1.96'!$B$35:$J$36</definedName>
    <definedName name="P2_1.96">'Barès 1.96'!$C$35:$I$36</definedName>
    <definedName name="_xlnm.Print_Area" localSheetId="2">'res1.102a'!$A:$K</definedName>
    <definedName name="_xlnm.Print_Area" localSheetId="5">'res1.82'!$A:$K</definedName>
    <definedName name="_xlnm.Print_Area" localSheetId="4">'res1.88'!$A:$I</definedName>
    <definedName name="_xlnm.Print_Area" localSheetId="3">'res1.96'!$A:$K</definedName>
  </definedNames>
  <calcPr fullCalcOnLoad="1"/>
</workbook>
</file>

<file path=xl/sharedStrings.xml><?xml version="1.0" encoding="utf-8"?>
<sst xmlns="http://schemas.openxmlformats.org/spreadsheetml/2006/main" count="1005" uniqueCount="211">
  <si>
    <t>RESERVOIRS - CUVES - BASSINS - CHATEAUX D'EAU</t>
  </si>
  <si>
    <t>(avec recommandations des annales de l'ITBTP de mai 90, n° 486 septembre 1990)</t>
  </si>
  <si>
    <t>Résistance caractéristique du béton à la compression à 28 jours</t>
  </si>
  <si>
    <t>MPa</t>
  </si>
  <si>
    <t>Résistance caractéristique du béton à la traction à 28 jours</t>
  </si>
  <si>
    <t>Limite élastique de l'acier</t>
  </si>
  <si>
    <t>Limitation de la contrainte de traction dans les aciers</t>
  </si>
  <si>
    <r>
      <t>a</t>
    </r>
    <r>
      <rPr>
        <sz val="10"/>
        <rFont val="Arial"/>
        <family val="0"/>
      </rPr>
      <t xml:space="preserve"> =</t>
    </r>
  </si>
  <si>
    <t>cas général où le béton doit jour à la fois,</t>
  </si>
  <si>
    <t>le rôle de structure mécanique et d'étanchéité</t>
  </si>
  <si>
    <r>
      <t>h</t>
    </r>
    <r>
      <rPr>
        <sz val="10"/>
        <rFont val="Arial"/>
        <family val="0"/>
      </rPr>
      <t xml:space="preserve"> =</t>
    </r>
  </si>
  <si>
    <t>coefficient de fissuration de l'acier HA</t>
  </si>
  <si>
    <r>
      <t>f</t>
    </r>
    <r>
      <rPr>
        <b/>
        <sz val="10"/>
        <rFont val="Arial"/>
        <family val="2"/>
      </rPr>
      <t xml:space="preserve"> (mm)</t>
    </r>
  </si>
  <si>
    <r>
      <t>s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(MPa)</t>
    </r>
  </si>
  <si>
    <r>
      <t>s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+ 30</t>
    </r>
    <r>
      <rPr>
        <b/>
        <sz val="10"/>
        <rFont val="Symbol"/>
        <family val="1"/>
      </rPr>
      <t>h</t>
    </r>
    <r>
      <rPr>
        <b/>
        <sz val="10"/>
        <rFont val="Arial"/>
        <family val="2"/>
      </rPr>
      <t xml:space="preserve"> (MPa)</t>
    </r>
  </si>
  <si>
    <r>
      <t xml:space="preserve">La contrainte limite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peut être majorée de 30</t>
    </r>
    <r>
      <rPr>
        <sz val="10"/>
        <rFont val="Symbol"/>
        <family val="1"/>
      </rPr>
      <t>h</t>
    </r>
    <r>
      <rPr>
        <sz val="10"/>
        <rFont val="Arial"/>
        <family val="0"/>
      </rPr>
      <t xml:space="preserve"> lorsque les armatures sont situées dans une paroi en contact</t>
    </r>
  </si>
  <si>
    <t>permanent avec l'eau ou en atmosphère saturée (sauf en ce qui concerne les ouvrages à la mer ou enterrés).</t>
  </si>
  <si>
    <r>
      <t xml:space="preserve">Dans tous les cas, la contrainte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sera limitée à la plus petite des 2 valeurs</t>
    </r>
  </si>
  <si>
    <t>Limitation de la contrainte de traction du béton</t>
  </si>
  <si>
    <t>Cette contrainte est calculée à l'ELS en section homogénéisée</t>
  </si>
  <si>
    <t>en traction simple</t>
  </si>
  <si>
    <r>
      <t>q</t>
    </r>
    <r>
      <rPr>
        <sz val="10"/>
        <rFont val="Arial"/>
        <family val="0"/>
      </rPr>
      <t xml:space="preserve"> =</t>
    </r>
  </si>
  <si>
    <t>1</t>
  </si>
  <si>
    <t>en flexion composée</t>
  </si>
  <si>
    <t>??</t>
  </si>
  <si>
    <t>dans les autres cas</t>
  </si>
  <si>
    <t>5/3</t>
  </si>
  <si>
    <t>avec :</t>
  </si>
  <si>
    <r>
      <t>e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</si>
  <si>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excentricité de la force de traction,</t>
  </si>
  <si>
    <r>
      <t>inférieure à l'épaisseur de la parois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de la parois</t>
    </r>
  </si>
  <si>
    <t>BACHE EAU SALE</t>
  </si>
  <si>
    <t>BACHE EAU TRAITEE</t>
  </si>
  <si>
    <t>BIOFORS   A, B</t>
  </si>
  <si>
    <t>ETUDE DES RESERVOIRS RECTANGULAIRES (libre en tête)</t>
  </si>
  <si>
    <t>Bache eau sale</t>
  </si>
  <si>
    <t>Longueur intérieure</t>
  </si>
  <si>
    <t>m</t>
  </si>
  <si>
    <t>Epaisseur du voile longitudinal</t>
  </si>
  <si>
    <t>Largeur intérieure</t>
  </si>
  <si>
    <t>Epaisseur du voile transversal</t>
  </si>
  <si>
    <t>Hauteur</t>
  </si>
  <si>
    <t>Epaisseur radier</t>
  </si>
  <si>
    <t>Poids volum. liquide</t>
  </si>
  <si>
    <r>
      <t>kN/m</t>
    </r>
    <r>
      <rPr>
        <vertAlign val="superscript"/>
        <sz val="10"/>
        <rFont val="Arial"/>
        <family val="2"/>
      </rPr>
      <t>3</t>
    </r>
  </si>
  <si>
    <t>Taux de travail limite des aciers</t>
  </si>
  <si>
    <t>Mpa</t>
  </si>
  <si>
    <t>Résistance caract. béton</t>
  </si>
  <si>
    <t>Cdg. des aciers au nu du béton</t>
  </si>
  <si>
    <t>Taux de travail limite béton</t>
  </si>
  <si>
    <r>
      <t>Moment résistant voile long. M</t>
    </r>
    <r>
      <rPr>
        <vertAlign val="subscript"/>
        <sz val="10"/>
        <rFont val="Arial"/>
        <family val="2"/>
      </rPr>
      <t>rb</t>
    </r>
    <r>
      <rPr>
        <sz val="10"/>
        <rFont val="Arial"/>
        <family val="2"/>
      </rPr>
      <t xml:space="preserve"> =</t>
    </r>
  </si>
  <si>
    <t>kNm</t>
  </si>
  <si>
    <r>
      <t>Moment résistant voile transv. M</t>
    </r>
    <r>
      <rPr>
        <vertAlign val="subscript"/>
        <sz val="10"/>
        <rFont val="Arial"/>
        <family val="2"/>
      </rPr>
      <t>rb</t>
    </r>
    <r>
      <rPr>
        <sz val="10"/>
        <rFont val="Arial"/>
        <family val="2"/>
      </rPr>
      <t xml:space="preserve"> =</t>
    </r>
  </si>
  <si>
    <t>Voile suivant longueur</t>
  </si>
  <si>
    <t>table 1.102a</t>
  </si>
  <si>
    <t>a =</t>
  </si>
  <si>
    <t>b =</t>
  </si>
  <si>
    <r>
      <t>g</t>
    </r>
    <r>
      <rPr>
        <sz val="10"/>
        <rFont val="Arial"/>
        <family val="0"/>
      </rPr>
      <t xml:space="preserve"> = a/b =</t>
    </r>
  </si>
  <si>
    <r>
      <t>l</t>
    </r>
    <r>
      <rPr>
        <sz val="10"/>
        <rFont val="Arial"/>
        <family val="0"/>
      </rPr>
      <t xml:space="preserve"> = b/a =</t>
    </r>
  </si>
  <si>
    <t>q =</t>
  </si>
  <si>
    <r>
      <t>kN/m</t>
    </r>
    <r>
      <rPr>
        <vertAlign val="superscript"/>
        <sz val="10"/>
        <rFont val="Arial"/>
        <family val="2"/>
      </rPr>
      <t>2</t>
    </r>
  </si>
  <si>
    <t>ligne</t>
  </si>
  <si>
    <r>
      <t>g</t>
    </r>
    <r>
      <rPr>
        <b/>
        <sz val="10"/>
        <rFont val="Arial"/>
        <family val="0"/>
      </rPr>
      <t xml:space="preserve"> inf</t>
    </r>
  </si>
  <si>
    <r>
      <t>g</t>
    </r>
    <r>
      <rPr>
        <b/>
        <sz val="10"/>
        <rFont val="Arial"/>
        <family val="0"/>
      </rPr>
      <t xml:space="preserve"> sup</t>
    </r>
  </si>
  <si>
    <t>flexion simple</t>
  </si>
  <si>
    <t>flexion composée</t>
  </si>
  <si>
    <r>
      <t xml:space="preserve">Moment
</t>
    </r>
    <r>
      <rPr>
        <sz val="9"/>
        <rFont val="Arial"/>
        <family val="2"/>
      </rPr>
      <t>kNm/ml</t>
    </r>
  </si>
  <si>
    <r>
      <t xml:space="preserve">Aciers
</t>
    </r>
    <r>
      <rPr>
        <sz val="9"/>
        <rFont val="Arial"/>
        <family val="0"/>
      </rPr>
      <t>(cm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</si>
  <si>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s</t>
    </r>
    <r>
      <rPr>
        <b/>
        <vertAlign val="subscript"/>
        <sz val="9"/>
        <rFont val="Arial"/>
        <family val="2"/>
      </rPr>
      <t>b seul</t>
    </r>
    <r>
      <rPr>
        <b/>
        <sz val="9"/>
        <rFont val="Arial"/>
        <family val="0"/>
      </rPr>
      <t xml:space="preserve">
</t>
    </r>
    <r>
      <rPr>
        <sz val="9"/>
        <rFont val="Arial"/>
        <family val="0"/>
      </rPr>
      <t>(kPa)</t>
    </r>
  </si>
  <si>
    <r>
      <t>s</t>
    </r>
    <r>
      <rPr>
        <b/>
        <vertAlign val="subscript"/>
        <sz val="9"/>
        <rFont val="Arial"/>
        <family val="2"/>
      </rPr>
      <t>b homo</t>
    </r>
    <r>
      <rPr>
        <b/>
        <sz val="9"/>
        <rFont val="Arial"/>
        <family val="0"/>
      </rPr>
      <t xml:space="preserve">
</t>
    </r>
    <r>
      <rPr>
        <sz val="9"/>
        <rFont val="Arial"/>
        <family val="0"/>
      </rPr>
      <t>(kPa)</t>
    </r>
  </si>
  <si>
    <r>
      <t>s</t>
    </r>
    <r>
      <rPr>
        <b/>
        <vertAlign val="subscript"/>
        <sz val="9"/>
        <rFont val="Arial"/>
        <family val="2"/>
      </rPr>
      <t>b Maxi</t>
    </r>
    <r>
      <rPr>
        <b/>
        <sz val="9"/>
        <rFont val="Arial"/>
        <family val="0"/>
      </rPr>
      <t xml:space="preserve">
</t>
    </r>
    <r>
      <rPr>
        <sz val="9"/>
        <rFont val="Arial"/>
        <family val="0"/>
      </rPr>
      <t>(kPa)</t>
    </r>
  </si>
  <si>
    <t>coeff. inf</t>
  </si>
  <si>
    <t>coeff. sup</t>
  </si>
  <si>
    <r>
      <t>M</t>
    </r>
    <r>
      <rPr>
        <b/>
        <vertAlign val="subscript"/>
        <sz val="9"/>
        <rFont val="Arial"/>
        <family val="2"/>
      </rPr>
      <t>/A</t>
    </r>
    <r>
      <rPr>
        <b/>
        <sz val="9"/>
        <rFont val="Arial"/>
        <family val="0"/>
      </rPr>
      <t xml:space="preserve">
</t>
    </r>
    <r>
      <rPr>
        <sz val="9"/>
        <rFont val="Arial"/>
        <family val="0"/>
      </rPr>
      <t>kNm/ml</t>
    </r>
  </si>
  <si>
    <r>
      <t>Rx
(</t>
    </r>
    <r>
      <rPr>
        <sz val="9"/>
        <rFont val="Arial"/>
        <family val="0"/>
      </rPr>
      <t>kN/ml)</t>
    </r>
  </si>
  <si>
    <r>
      <t>q</t>
    </r>
    <r>
      <rPr>
        <b/>
        <sz val="9"/>
        <rFont val="Arial"/>
        <family val="0"/>
      </rPr>
      <t xml:space="preserve">
</t>
    </r>
  </si>
  <si>
    <r>
      <t>M</t>
    </r>
    <r>
      <rPr>
        <vertAlign val="subscript"/>
        <sz val="10"/>
        <rFont val="Arial"/>
        <family val="2"/>
      </rPr>
      <t>x1</t>
    </r>
    <r>
      <rPr>
        <sz val="10"/>
        <rFont val="Arial"/>
        <family val="0"/>
      </rPr>
      <t xml:space="preserve"> =</t>
    </r>
  </si>
  <si>
    <r>
      <t>x (qa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</si>
  <si>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M</t>
    </r>
    <r>
      <rPr>
        <vertAlign val="subscript"/>
        <sz val="10"/>
        <rFont val="Arial"/>
        <family val="2"/>
      </rPr>
      <t>x6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</si>
  <si>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x7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</si>
  <si>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x10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</si>
  <si>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x11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</si>
  <si>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x14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</si>
  <si>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x15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</si>
  <si>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x18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</si>
  <si>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x19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</si>
  <si>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x22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</si>
  <si>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y10</t>
    </r>
    <r>
      <rPr>
        <sz val="10"/>
        <rFont val="Arial"/>
        <family val="0"/>
      </rPr>
      <t xml:space="preserve"> =</t>
    </r>
  </si>
  <si>
    <r>
      <t>x (qb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</si>
  <si>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M</t>
    </r>
    <r>
      <rPr>
        <vertAlign val="subscript"/>
        <sz val="10"/>
        <rFont val="Arial"/>
        <family val="2"/>
      </rPr>
      <t>y14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</si>
  <si>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y18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</si>
  <si>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y22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</si>
  <si>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y26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</si>
  <si>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y27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</si>
  <si>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y28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</si>
  <si>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x1</t>
    </r>
    <r>
      <rPr>
        <sz val="10"/>
        <rFont val="Arial"/>
        <family val="0"/>
      </rPr>
      <t xml:space="preserve"> =</t>
    </r>
  </si>
  <si>
    <r>
      <t>x (qa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</si>
  <si>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x7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</si>
  <si>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x11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</si>
  <si>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x15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</si>
  <si>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x19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</si>
  <si>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x23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</si>
  <si>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y26</t>
    </r>
    <r>
      <rPr>
        <sz val="10"/>
        <rFont val="Arial"/>
        <family val="0"/>
      </rPr>
      <t xml:space="preserve"> =</t>
    </r>
  </si>
  <si>
    <t>x (qb) =</t>
  </si>
  <si>
    <r>
      <t>R</t>
    </r>
    <r>
      <rPr>
        <vertAlign val="subscript"/>
        <sz val="10"/>
        <rFont val="Arial"/>
        <family val="2"/>
      </rPr>
      <t>y27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</si>
  <si>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y28</t>
    </r>
    <r>
      <rPr>
        <sz val="10"/>
        <rFont val="Arial"/>
        <family val="0"/>
      </rPr>
      <t xml:space="preserve"> =</t>
    </r>
  </si>
  <si>
    <t>Voile suivant largeur</t>
  </si>
  <si>
    <r>
      <t>NOTA</t>
    </r>
    <r>
      <rPr>
        <sz val="10"/>
        <rFont val="Arial"/>
        <family val="0"/>
      </rPr>
      <t xml:space="preserve"> : L'inertie de la section béton homogénéisée est déterminée en tenant compte des aciers</t>
    </r>
  </si>
  <si>
    <t>calculés "A" coté fibre tendue et de "A/3" coté fibre comprimée.</t>
  </si>
  <si>
    <t>Radier sens transversal</t>
  </si>
  <si>
    <t>p =</t>
  </si>
  <si>
    <t xml:space="preserve">noeud
</t>
  </si>
  <si>
    <r>
      <t>M</t>
    </r>
    <r>
      <rPr>
        <b/>
        <vertAlign val="subscript"/>
        <sz val="9"/>
        <rFont val="Arial"/>
        <family val="2"/>
      </rPr>
      <t>y</t>
    </r>
    <r>
      <rPr>
        <vertAlign val="subscript"/>
        <sz val="9"/>
        <rFont val="Arial"/>
        <family val="2"/>
      </rPr>
      <t xml:space="preserve">
</t>
    </r>
    <r>
      <rPr>
        <sz val="9"/>
        <rFont val="Arial"/>
        <family val="2"/>
      </rPr>
      <t>kNm/ml</t>
    </r>
  </si>
  <si>
    <r>
      <t>R</t>
    </r>
    <r>
      <rPr>
        <b/>
        <vertAlign val="subscript"/>
        <sz val="9"/>
        <rFont val="Arial"/>
        <family val="0"/>
      </rPr>
      <t>y</t>
    </r>
    <r>
      <rPr>
        <vertAlign val="subscript"/>
        <sz val="9"/>
        <rFont val="Arial"/>
        <family val="2"/>
      </rPr>
      <t xml:space="preserve">
</t>
    </r>
    <r>
      <rPr>
        <sz val="9"/>
        <rFont val="Arial"/>
        <family val="2"/>
      </rPr>
      <t>kN/ml</t>
    </r>
  </si>
  <si>
    <r>
      <t>d</t>
    </r>
    <r>
      <rPr>
        <sz val="9"/>
        <rFont val="Arial"/>
        <family val="2"/>
      </rPr>
      <t xml:space="preserve">
(m)</t>
    </r>
  </si>
  <si>
    <t>Radier sens longitudinal</t>
  </si>
  <si>
    <t>Bache eau traitée</t>
  </si>
  <si>
    <t>table 1.96</t>
  </si>
  <si>
    <t>Taux de travail limite du béton</t>
  </si>
  <si>
    <t>Epaisseur du voile</t>
  </si>
  <si>
    <t>Moment résistant béton Mrb=</t>
  </si>
  <si>
    <t>table 1.88</t>
  </si>
  <si>
    <r>
      <t xml:space="preserve">Moment
</t>
    </r>
    <r>
      <rPr>
        <sz val="10"/>
        <rFont val="Arial"/>
        <family val="0"/>
      </rPr>
      <t>(kNm/ml)</t>
    </r>
  </si>
  <si>
    <r>
      <t xml:space="preserve">Aciers
</t>
    </r>
    <r>
      <rPr>
        <sz val="10"/>
        <rFont val="Arial"/>
        <family val="0"/>
      </rP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</si>
  <si>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s</t>
    </r>
    <r>
      <rPr>
        <b/>
        <vertAlign val="subscript"/>
        <sz val="10"/>
        <rFont val="Arial"/>
        <family val="2"/>
      </rPr>
      <t>b seul</t>
    </r>
    <r>
      <rPr>
        <b/>
        <sz val="10"/>
        <rFont val="Arial"/>
        <family val="0"/>
      </rPr>
      <t xml:space="preserve">
</t>
    </r>
    <r>
      <rPr>
        <sz val="10"/>
        <rFont val="Arial"/>
        <family val="0"/>
      </rPr>
      <t>(kPa)</t>
    </r>
  </si>
  <si>
    <r>
      <t>s</t>
    </r>
    <r>
      <rPr>
        <b/>
        <vertAlign val="subscript"/>
        <sz val="10"/>
        <rFont val="Arial"/>
        <family val="2"/>
      </rPr>
      <t>b homo.</t>
    </r>
    <r>
      <rPr>
        <b/>
        <sz val="10"/>
        <rFont val="Arial"/>
        <family val="0"/>
      </rPr>
      <t xml:space="preserve">
</t>
    </r>
    <r>
      <rPr>
        <sz val="10"/>
        <rFont val="Arial"/>
        <family val="0"/>
      </rPr>
      <t>(kPa)</t>
    </r>
  </si>
  <si>
    <t>colonne</t>
  </si>
  <si>
    <r>
      <t>M</t>
    </r>
    <r>
      <rPr>
        <vertAlign val="subscript"/>
        <sz val="10"/>
        <rFont val="Arial"/>
        <family val="2"/>
      </rPr>
      <t>xs</t>
    </r>
    <r>
      <rPr>
        <sz val="10"/>
        <rFont val="Arial"/>
        <family val="0"/>
      </rPr>
      <t xml:space="preserve"> =</t>
    </r>
  </si>
  <si>
    <r>
      <t>x (qa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=</t>
    </r>
  </si>
  <si>
    <r>
      <t>M</t>
    </r>
    <r>
      <rPr>
        <vertAlign val="subscript"/>
        <sz val="10"/>
        <rFont val="Arial"/>
        <family val="2"/>
      </rPr>
      <t>xvs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</si>
  <si>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ys</t>
    </r>
    <r>
      <rPr>
        <sz val="10"/>
        <rFont val="Arial"/>
        <family val="0"/>
      </rPr>
      <t xml:space="preserve"> =</t>
    </r>
  </si>
  <si>
    <r>
      <t>x (qb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=</t>
    </r>
  </si>
  <si>
    <r>
      <t>M</t>
    </r>
    <r>
      <rPr>
        <vertAlign val="subscript"/>
        <sz val="10"/>
        <rFont val="Arial"/>
        <family val="2"/>
      </rPr>
      <t>yvs</t>
    </r>
    <r>
      <rPr>
        <sz val="10"/>
        <rFont val="Arial"/>
        <family val="0"/>
      </rPr>
      <t xml:space="preserve"> =</t>
    </r>
  </si>
  <si>
    <t>ETUDE DES RESERVOIRS RECTANGULAIRES (butonné en tête)</t>
  </si>
  <si>
    <t>P1_1.102a</t>
  </si>
  <si>
    <t>='Barès 1.102a'!$B$4:$H$35</t>
  </si>
  <si>
    <t>P1_1.82</t>
  </si>
  <si>
    <t>='Barès 1.82'!$C$4:$I$35</t>
  </si>
  <si>
    <t>P1_1.88</t>
  </si>
  <si>
    <t>='Barès 1.88'!$A$6:$H$29</t>
  </si>
  <si>
    <t>P1_1.96</t>
  </si>
  <si>
    <t>='Barès 1.96'!$C$4:$I$35</t>
  </si>
  <si>
    <t>P2_1.102a</t>
  </si>
  <si>
    <t>='Barès 1.102a'!$B$35:$H$36</t>
  </si>
  <si>
    <t>P2_1.82</t>
  </si>
  <si>
    <t>='Barès 1.82'!$C$35:$I$36</t>
  </si>
  <si>
    <t>P2_1.88</t>
  </si>
  <si>
    <t>='Barès 1.88'!$H$6:$I$29</t>
  </si>
  <si>
    <t>table 1.82</t>
  </si>
  <si>
    <t>P2_1.96</t>
  </si>
  <si>
    <t>='Barès 1.96'!$C$35:$I$36</t>
  </si>
  <si>
    <t>Zone_d_impression</t>
  </si>
  <si>
    <t>=res1.82!$A:$K</t>
  </si>
  <si>
    <t>(à partir des tables de Barés)</t>
  </si>
  <si>
    <t>Poids volumique du liquide</t>
  </si>
  <si>
    <t>table 1.68a</t>
  </si>
  <si>
    <r>
      <t>Aciers (cm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</si>
  <si>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s</t>
    </r>
    <r>
      <rPr>
        <b/>
        <sz val="10"/>
        <rFont val="Arial"/>
        <family val="0"/>
      </rPr>
      <t xml:space="preserve"> béton
traction
(kpa)</t>
    </r>
  </si>
  <si>
    <t>kNm/ml</t>
  </si>
  <si>
    <r>
      <t>M</t>
    </r>
    <r>
      <rPr>
        <vertAlign val="subscript"/>
        <sz val="10"/>
        <rFont val="Arial"/>
        <family val="2"/>
      </rPr>
      <t>xmax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</si>
  <si>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ymax</t>
    </r>
    <r>
      <rPr>
        <sz val="10"/>
        <rFont val="Arial"/>
        <family val="0"/>
      </rPr>
      <t xml:space="preserve"> =</t>
    </r>
  </si>
  <si>
    <t>Table de Barès</t>
  </si>
  <si>
    <t>1.102a</t>
  </si>
  <si>
    <t>le 15-01-99</t>
  </si>
  <si>
    <t>g</t>
  </si>
  <si>
    <r>
      <t>M</t>
    </r>
    <r>
      <rPr>
        <vertAlign val="subscript"/>
        <sz val="10"/>
        <rFont val="Arial"/>
        <family val="2"/>
      </rPr>
      <t>x1</t>
    </r>
  </si>
  <si>
    <r>
      <t>M</t>
    </r>
    <r>
      <rPr>
        <vertAlign val="subscript"/>
        <sz val="10"/>
        <rFont val="Arial"/>
        <family val="2"/>
      </rPr>
      <t>x6</t>
    </r>
  </si>
  <si>
    <r>
      <t>M</t>
    </r>
    <r>
      <rPr>
        <vertAlign val="subscript"/>
        <sz val="10"/>
        <rFont val="Arial"/>
        <family val="2"/>
      </rPr>
      <t>x7</t>
    </r>
  </si>
  <si>
    <r>
      <t>M</t>
    </r>
    <r>
      <rPr>
        <vertAlign val="subscript"/>
        <sz val="10"/>
        <rFont val="Arial"/>
        <family val="2"/>
      </rPr>
      <t>x10</t>
    </r>
  </si>
  <si>
    <r>
      <t>M</t>
    </r>
    <r>
      <rPr>
        <vertAlign val="subscript"/>
        <sz val="10"/>
        <rFont val="Arial"/>
        <family val="2"/>
      </rPr>
      <t>x11</t>
    </r>
  </si>
  <si>
    <r>
      <t>M</t>
    </r>
    <r>
      <rPr>
        <vertAlign val="subscript"/>
        <sz val="10"/>
        <rFont val="Arial"/>
        <family val="2"/>
      </rPr>
      <t>x14</t>
    </r>
  </si>
  <si>
    <r>
      <t>M</t>
    </r>
    <r>
      <rPr>
        <vertAlign val="subscript"/>
        <sz val="10"/>
        <rFont val="Arial"/>
        <family val="2"/>
      </rPr>
      <t>x15</t>
    </r>
  </si>
  <si>
    <r>
      <t>M</t>
    </r>
    <r>
      <rPr>
        <vertAlign val="subscript"/>
        <sz val="10"/>
        <rFont val="Arial"/>
        <family val="2"/>
      </rPr>
      <t>x18</t>
    </r>
  </si>
  <si>
    <r>
      <t>M</t>
    </r>
    <r>
      <rPr>
        <vertAlign val="subscript"/>
        <sz val="10"/>
        <rFont val="Arial"/>
        <family val="2"/>
      </rPr>
      <t>x19</t>
    </r>
  </si>
  <si>
    <r>
      <t>M</t>
    </r>
    <r>
      <rPr>
        <vertAlign val="subscript"/>
        <sz val="10"/>
        <rFont val="Arial"/>
        <family val="2"/>
      </rPr>
      <t>x22</t>
    </r>
  </si>
  <si>
    <r>
      <t>M</t>
    </r>
    <r>
      <rPr>
        <vertAlign val="subscript"/>
        <sz val="10"/>
        <rFont val="Arial"/>
        <family val="2"/>
      </rPr>
      <t>y10</t>
    </r>
  </si>
  <si>
    <r>
      <t>M</t>
    </r>
    <r>
      <rPr>
        <vertAlign val="subscript"/>
        <sz val="10"/>
        <rFont val="Arial"/>
        <family val="2"/>
      </rPr>
      <t>y14</t>
    </r>
  </si>
  <si>
    <r>
      <t>M</t>
    </r>
    <r>
      <rPr>
        <vertAlign val="subscript"/>
        <sz val="10"/>
        <rFont val="Arial"/>
        <family val="2"/>
      </rPr>
      <t>y18</t>
    </r>
  </si>
  <si>
    <r>
      <t>M</t>
    </r>
    <r>
      <rPr>
        <vertAlign val="subscript"/>
        <sz val="10"/>
        <rFont val="Arial"/>
        <family val="2"/>
      </rPr>
      <t>y22</t>
    </r>
  </si>
  <si>
    <r>
      <t>M</t>
    </r>
    <r>
      <rPr>
        <vertAlign val="subscript"/>
        <sz val="10"/>
        <rFont val="Arial"/>
        <family val="2"/>
      </rPr>
      <t>y26</t>
    </r>
  </si>
  <si>
    <r>
      <t>M</t>
    </r>
    <r>
      <rPr>
        <vertAlign val="subscript"/>
        <sz val="10"/>
        <rFont val="Arial"/>
        <family val="2"/>
      </rPr>
      <t>y27</t>
    </r>
  </si>
  <si>
    <r>
      <t>M</t>
    </r>
    <r>
      <rPr>
        <vertAlign val="subscript"/>
        <sz val="10"/>
        <rFont val="Arial"/>
        <family val="2"/>
      </rPr>
      <t>y28</t>
    </r>
  </si>
  <si>
    <r>
      <t>R</t>
    </r>
    <r>
      <rPr>
        <vertAlign val="subscript"/>
        <sz val="10"/>
        <rFont val="Arial"/>
        <family val="2"/>
      </rPr>
      <t>x1</t>
    </r>
  </si>
  <si>
    <r>
      <t>R</t>
    </r>
    <r>
      <rPr>
        <vertAlign val="subscript"/>
        <sz val="10"/>
        <rFont val="Arial"/>
        <family val="2"/>
      </rPr>
      <t>x7</t>
    </r>
  </si>
  <si>
    <r>
      <t>R</t>
    </r>
    <r>
      <rPr>
        <vertAlign val="subscript"/>
        <sz val="10"/>
        <rFont val="Arial"/>
        <family val="2"/>
      </rPr>
      <t>x11</t>
    </r>
  </si>
  <si>
    <r>
      <t>R</t>
    </r>
    <r>
      <rPr>
        <vertAlign val="subscript"/>
        <sz val="10"/>
        <rFont val="Arial"/>
        <family val="2"/>
      </rPr>
      <t>x15</t>
    </r>
  </si>
  <si>
    <r>
      <t>R</t>
    </r>
    <r>
      <rPr>
        <vertAlign val="subscript"/>
        <sz val="10"/>
        <rFont val="Arial"/>
        <family val="2"/>
      </rPr>
      <t>x19</t>
    </r>
  </si>
  <si>
    <r>
      <t>R</t>
    </r>
    <r>
      <rPr>
        <vertAlign val="subscript"/>
        <sz val="10"/>
        <rFont val="Arial"/>
        <family val="2"/>
      </rPr>
      <t>x23</t>
    </r>
  </si>
  <si>
    <r>
      <t>R</t>
    </r>
    <r>
      <rPr>
        <vertAlign val="subscript"/>
        <sz val="10"/>
        <rFont val="Arial"/>
        <family val="2"/>
      </rPr>
      <t>y26</t>
    </r>
  </si>
  <si>
    <r>
      <t>R</t>
    </r>
    <r>
      <rPr>
        <vertAlign val="subscript"/>
        <sz val="10"/>
        <rFont val="Arial"/>
        <family val="2"/>
      </rPr>
      <t>y27</t>
    </r>
  </si>
  <si>
    <r>
      <t>R</t>
    </r>
    <r>
      <rPr>
        <vertAlign val="subscript"/>
        <sz val="10"/>
        <rFont val="Arial"/>
        <family val="2"/>
      </rPr>
      <t>y28</t>
    </r>
  </si>
  <si>
    <t>1.96</t>
  </si>
  <si>
    <t>----------&gt;</t>
  </si>
  <si>
    <t>valeurs ECI</t>
  </si>
  <si>
    <t>x / l</t>
  </si>
  <si>
    <t>M</t>
  </si>
  <si>
    <r>
      <t>pl</t>
    </r>
    <r>
      <rPr>
        <vertAlign val="superscript"/>
        <sz val="10"/>
        <rFont val="Arial"/>
        <family val="2"/>
      </rPr>
      <t>2</t>
    </r>
  </si>
  <si>
    <t>=</t>
  </si>
  <si>
    <t>pl</t>
  </si>
  <si>
    <t>1.88</t>
  </si>
  <si>
    <r>
      <t>M</t>
    </r>
    <r>
      <rPr>
        <vertAlign val="subscript"/>
        <sz val="10"/>
        <rFont val="Arial"/>
        <family val="2"/>
      </rPr>
      <t>xs</t>
    </r>
  </si>
  <si>
    <r>
      <t>M</t>
    </r>
    <r>
      <rPr>
        <vertAlign val="subscript"/>
        <sz val="10"/>
        <rFont val="Arial"/>
        <family val="2"/>
      </rPr>
      <t>xmax</t>
    </r>
  </si>
  <si>
    <r>
      <t>M</t>
    </r>
    <r>
      <rPr>
        <vertAlign val="subscript"/>
        <sz val="10"/>
        <rFont val="Arial"/>
        <family val="2"/>
      </rPr>
      <t>xvs</t>
    </r>
  </si>
  <si>
    <r>
      <t>M</t>
    </r>
    <r>
      <rPr>
        <vertAlign val="subscript"/>
        <sz val="10"/>
        <rFont val="Arial"/>
        <family val="2"/>
      </rPr>
      <t>ys</t>
    </r>
  </si>
  <si>
    <r>
      <t>M</t>
    </r>
    <r>
      <rPr>
        <vertAlign val="subscript"/>
        <sz val="10"/>
        <rFont val="Arial"/>
        <family val="2"/>
      </rPr>
      <t>ymax</t>
    </r>
  </si>
  <si>
    <r>
      <t>M</t>
    </r>
    <r>
      <rPr>
        <vertAlign val="subscript"/>
        <sz val="10"/>
        <rFont val="Arial"/>
        <family val="2"/>
      </rPr>
      <t>yvs</t>
    </r>
  </si>
  <si>
    <t>le 21-01-99</t>
  </si>
  <si>
    <r>
      <t>My</t>
    </r>
    <r>
      <rPr>
        <b/>
        <vertAlign val="subscript"/>
        <sz val="10"/>
        <rFont val="Arial"/>
        <family val="0"/>
      </rPr>
      <t>(</t>
    </r>
    <r>
      <rPr>
        <b/>
        <vertAlign val="subscript"/>
        <sz val="10"/>
        <rFont val="Symbol"/>
        <family val="1"/>
      </rPr>
      <t>g</t>
    </r>
    <r>
      <rPr>
        <b/>
        <vertAlign val="subscript"/>
        <sz val="10"/>
        <rFont val="Arial"/>
        <family val="0"/>
      </rPr>
      <t>=10,00)</t>
    </r>
  </si>
  <si>
    <r>
      <t>Mx</t>
    </r>
    <r>
      <rPr>
        <b/>
        <vertAlign val="subscript"/>
        <sz val="10"/>
        <rFont val="Arial"/>
        <family val="0"/>
      </rPr>
      <t>(</t>
    </r>
    <r>
      <rPr>
        <b/>
        <vertAlign val="subscript"/>
        <sz val="10"/>
        <rFont val="Symbol"/>
        <family val="1"/>
      </rPr>
      <t>g</t>
    </r>
    <r>
      <rPr>
        <b/>
        <vertAlign val="subscript"/>
        <sz val="10"/>
        <rFont val="Arial"/>
        <family val="0"/>
      </rPr>
      <t>=0,00)</t>
    </r>
  </si>
  <si>
    <t>Rx</t>
  </si>
  <si>
    <t>1.68a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</si>
</sst>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0.00000000"/>
    <numFmt numFmtId="166" formatCode="0.000000000"/>
    <numFmt numFmtId="167" formatCode="0.0000000000"/>
    <numFmt numFmtId="168" formatCode="0.0000000"/>
    <numFmt numFmtId="169" formatCode="0.000000"/>
    <numFmt numFmtId="170" formatCode="0.00000"/>
    <numFmt numFmtId="171" formatCode="0.0000"/>
    <numFmt numFmtId="172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sz val="14"/>
      <name val="Arial"/>
      <family val="0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vertAlign val="superscript"/>
      <sz val="10"/>
      <name val="Arial"/>
      <family val="0"/>
    </font>
    <font>
      <b/>
      <sz val="10"/>
      <name val="Symbol"/>
      <family val="1"/>
    </font>
    <font>
      <sz val="9"/>
      <name val="Arial"/>
      <family val="2"/>
    </font>
    <font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0"/>
    </font>
    <font>
      <b/>
      <sz val="5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9"/>
      <name val="Symbol"/>
      <family val="1"/>
    </font>
    <font>
      <b/>
      <vertAlign val="subscript"/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vertAlign val="subscript"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0" fillId="0" borderId="0" xfId="0" applyNumberFormat="1" applyAlignment="1" applyProtection="1">
      <alignment horizontal="right"/>
      <protection hidden="1" locked="0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4" fillId="0" borderId="0" xfId="0" applyFont="1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2" fontId="0" fillId="0" borderId="2" xfId="0" applyNumberFormat="1" applyBorder="1" applyAlignment="1">
      <alignment/>
    </xf>
    <xf numFmtId="2" fontId="0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1" fontId="0" fillId="0" borderId="14" xfId="0" applyNumberFormat="1" applyBorder="1" applyAlignment="1">
      <alignment/>
    </xf>
    <xf numFmtId="0" fontId="0" fillId="0" borderId="15" xfId="0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16" xfId="0" applyNumberFormat="1" applyBorder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7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2" fontId="0" fillId="0" borderId="2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6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6" fillId="0" borderId="26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0" fillId="0" borderId="28" xfId="0" applyFon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1" xfId="0" applyFont="1" applyBorder="1" applyAlignment="1">
      <alignment horizont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 horizontal="right"/>
    </xf>
    <xf numFmtId="3" fontId="0" fillId="0" borderId="0" xfId="0" applyNumberFormat="1" applyAlignment="1" quotePrefix="1">
      <alignment/>
    </xf>
    <xf numFmtId="0" fontId="0" fillId="0" borderId="35" xfId="0" applyBorder="1" applyAlignment="1">
      <alignment horizontal="right"/>
    </xf>
    <xf numFmtId="171" fontId="0" fillId="0" borderId="36" xfId="0" applyNumberFormat="1" applyBorder="1" applyAlignment="1">
      <alignment/>
    </xf>
    <xf numFmtId="0" fontId="0" fillId="0" borderId="37" xfId="0" applyBorder="1" applyAlignment="1">
      <alignment horizontal="right"/>
    </xf>
    <xf numFmtId="2" fontId="0" fillId="0" borderId="17" xfId="0" applyNumberFormat="1" applyBorder="1" applyAlignment="1">
      <alignment/>
    </xf>
    <xf numFmtId="2" fontId="0" fillId="0" borderId="17" xfId="0" applyNumberFormat="1" applyFont="1" applyBorder="1" applyAlignment="1">
      <alignment horizontal="right"/>
    </xf>
    <xf numFmtId="1" fontId="0" fillId="0" borderId="18" xfId="0" applyNumberFormat="1" applyBorder="1" applyAlignment="1">
      <alignment/>
    </xf>
    <xf numFmtId="0" fontId="0" fillId="0" borderId="38" xfId="0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172" fontId="0" fillId="0" borderId="0" xfId="0" applyNumberFormat="1" applyFill="1" applyAlignment="1" applyProtection="1">
      <alignment/>
      <protection/>
    </xf>
    <xf numFmtId="3" fontId="0" fillId="0" borderId="3" xfId="0" applyNumberFormat="1" applyBorder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171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0" borderId="0" xfId="0" applyAlignment="1" quotePrefix="1">
      <alignment horizontal="right"/>
    </xf>
    <xf numFmtId="0" fontId="11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22" xfId="0" applyBorder="1" applyAlignment="1">
      <alignment horizontal="center"/>
    </xf>
    <xf numFmtId="164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8" fillId="0" borderId="5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3" fontId="0" fillId="0" borderId="25" xfId="0" applyNumberFormat="1" applyBorder="1" applyAlignment="1">
      <alignment/>
    </xf>
    <xf numFmtId="0" fontId="0" fillId="0" borderId="39" xfId="0" applyBorder="1" applyAlignment="1">
      <alignment horizontal="center"/>
    </xf>
    <xf numFmtId="2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6" xfId="0" applyNumberFormat="1" applyBorder="1" applyAlignment="1">
      <alignment/>
    </xf>
    <xf numFmtId="3" fontId="0" fillId="0" borderId="38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43" xfId="0" applyNumberFormat="1" applyBorder="1" applyAlignment="1">
      <alignment/>
    </xf>
    <xf numFmtId="172" fontId="0" fillId="2" borderId="0" xfId="0" applyNumberFormat="1" applyFill="1" applyAlignment="1" applyProtection="1">
      <alignment/>
      <protection locked="0"/>
    </xf>
    <xf numFmtId="1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</xdr:row>
      <xdr:rowOff>76200</xdr:rowOff>
    </xdr:from>
    <xdr:to>
      <xdr:col>10</xdr:col>
      <xdr:colOff>438150</xdr:colOff>
      <xdr:row>13</xdr:row>
      <xdr:rowOff>85725</xdr:rowOff>
    </xdr:to>
    <xdr:grpSp>
      <xdr:nvGrpSpPr>
        <xdr:cNvPr id="1" name="Group 23"/>
        <xdr:cNvGrpSpPr>
          <a:grpSpLocks/>
        </xdr:cNvGrpSpPr>
      </xdr:nvGrpSpPr>
      <xdr:grpSpPr>
        <a:xfrm>
          <a:off x="3619500" y="400050"/>
          <a:ext cx="4438650" cy="1828800"/>
          <a:chOff x="-7301" y="-4068"/>
          <a:chExt cx="11508" cy="192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-7301" y="-4068"/>
            <a:ext cx="11508" cy="192"/>
            <a:chOff x="4460000" y="840000"/>
            <a:chExt cx="5480000" cy="3840000"/>
          </a:xfrm>
          <a:solidFill>
            <a:srgbClr val="FFFFFF"/>
          </a:solidFill>
        </xdr:grpSpPr>
        <xdr:grpSp>
          <xdr:nvGrpSpPr>
            <xdr:cNvPr id="3" name="Group 14"/>
            <xdr:cNvGrpSpPr>
              <a:grpSpLocks/>
            </xdr:cNvGrpSpPr>
          </xdr:nvGrpSpPr>
          <xdr:grpSpPr>
            <a:xfrm>
              <a:off x="4460000" y="840000"/>
              <a:ext cx="5480000" cy="3840000"/>
              <a:chOff x="4460000" y="840000"/>
              <a:chExt cx="5480000" cy="3840000"/>
            </a:xfrm>
            <a:solidFill>
              <a:srgbClr val="FFFFFF"/>
            </a:solidFill>
          </xdr:grpSpPr>
          <xdr:sp>
            <xdr:nvSpPr>
              <xdr:cNvPr id="4" name="Rectangle 6"/>
              <xdr:cNvSpPr>
                <a:spLocks/>
              </xdr:cNvSpPr>
            </xdr:nvSpPr>
            <xdr:spPr>
              <a:xfrm>
                <a:off x="5879320" y="840000"/>
                <a:ext cx="4060680" cy="2379840"/>
              </a:xfrm>
              <a:prstGeom prst="rect">
                <a:avLst/>
              </a:prstGeom>
              <a:noFill/>
              <a:ln w="1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Line 10"/>
              <xdr:cNvSpPr>
                <a:spLocks/>
              </xdr:cNvSpPr>
            </xdr:nvSpPr>
            <xdr:spPr>
              <a:xfrm flipV="1">
                <a:off x="4460000" y="3219840"/>
                <a:ext cx="1419320" cy="1460160"/>
              </a:xfrm>
              <a:prstGeom prst="line">
                <a:avLst/>
              </a:prstGeom>
              <a:solidFill>
                <a:srgbClr val="FFFFFF"/>
              </a:solidFill>
              <a:ln w="1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" name="Group 13"/>
            <xdr:cNvGrpSpPr>
              <a:grpSpLocks/>
            </xdr:cNvGrpSpPr>
          </xdr:nvGrpSpPr>
          <xdr:grpSpPr>
            <a:xfrm>
              <a:off x="4460000" y="840000"/>
              <a:ext cx="5480000" cy="3840000"/>
              <a:chOff x="4460000" y="840000"/>
              <a:chExt cx="5480000" cy="3840000"/>
            </a:xfrm>
            <a:solidFill>
              <a:srgbClr val="FFFFFF"/>
            </a:solidFill>
          </xdr:grpSpPr>
          <xdr:sp>
            <xdr:nvSpPr>
              <xdr:cNvPr id="7" name="Rectangle 5"/>
              <xdr:cNvSpPr>
                <a:spLocks/>
              </xdr:cNvSpPr>
            </xdr:nvSpPr>
            <xdr:spPr>
              <a:xfrm>
                <a:off x="4460000" y="2280000"/>
                <a:ext cx="4060680" cy="2400000"/>
              </a:xfrm>
              <a:prstGeom prst="rect">
                <a:avLst/>
              </a:prstGeom>
              <a:noFill/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7"/>
              <xdr:cNvSpPr>
                <a:spLocks/>
              </xdr:cNvSpPr>
            </xdr:nvSpPr>
            <xdr:spPr>
              <a:xfrm flipV="1">
                <a:off x="8520680" y="3219840"/>
                <a:ext cx="1419320" cy="1460160"/>
              </a:xfrm>
              <a:prstGeom prst="line">
                <a:avLst/>
              </a:prstGeom>
              <a:solidFill>
                <a:srgbClr val="FFFFFF"/>
              </a:solidFill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8"/>
              <xdr:cNvSpPr>
                <a:spLocks/>
              </xdr:cNvSpPr>
            </xdr:nvSpPr>
            <xdr:spPr>
              <a:xfrm flipV="1">
                <a:off x="8520680" y="840000"/>
                <a:ext cx="1419320" cy="1440000"/>
              </a:xfrm>
              <a:prstGeom prst="line">
                <a:avLst/>
              </a:prstGeom>
              <a:solidFill>
                <a:srgbClr val="FFFFFF"/>
              </a:solidFill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9"/>
              <xdr:cNvSpPr>
                <a:spLocks/>
              </xdr:cNvSpPr>
            </xdr:nvSpPr>
            <xdr:spPr>
              <a:xfrm flipV="1">
                <a:off x="4460000" y="840000"/>
                <a:ext cx="1419320" cy="1440000"/>
              </a:xfrm>
              <a:prstGeom prst="line">
                <a:avLst/>
              </a:prstGeom>
              <a:solidFill>
                <a:srgbClr val="FFFFFF"/>
              </a:solidFill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Line 11"/>
              <xdr:cNvSpPr>
                <a:spLocks/>
              </xdr:cNvSpPr>
            </xdr:nvSpPr>
            <xdr:spPr>
              <a:xfrm>
                <a:off x="5879320" y="840000"/>
                <a:ext cx="4060680" cy="0"/>
              </a:xfrm>
              <a:prstGeom prst="line">
                <a:avLst/>
              </a:prstGeom>
              <a:solidFill>
                <a:srgbClr val="FFFFFF"/>
              </a:solidFill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9940000" y="840000"/>
                <a:ext cx="0" cy="2379840"/>
              </a:xfrm>
              <a:prstGeom prst="line">
                <a:avLst/>
              </a:prstGeom>
              <a:solidFill>
                <a:srgbClr val="FFFFFF"/>
              </a:solidFill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3" name="Group 21"/>
          <xdr:cNvGrpSpPr>
            <a:grpSpLocks/>
          </xdr:cNvGrpSpPr>
        </xdr:nvGrpSpPr>
        <xdr:grpSpPr>
          <a:xfrm>
            <a:off x="-7301" y="-4040"/>
            <a:ext cx="11508" cy="72"/>
            <a:chOff x="4460000" y="1400000"/>
            <a:chExt cx="5480000" cy="1440000"/>
          </a:xfrm>
          <a:solidFill>
            <a:srgbClr val="FFFFFF"/>
          </a:solidFill>
        </xdr:grpSpPr>
        <xdr:sp>
          <xdr:nvSpPr>
            <xdr:cNvPr id="14" name="Line 15"/>
            <xdr:cNvSpPr>
              <a:spLocks/>
            </xdr:cNvSpPr>
          </xdr:nvSpPr>
          <xdr:spPr>
            <a:xfrm>
              <a:off x="4460000" y="2819840"/>
              <a:ext cx="404013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8"/>
            <xdr:cNvSpPr>
              <a:spLocks/>
            </xdr:cNvSpPr>
          </xdr:nvSpPr>
          <xdr:spPr>
            <a:xfrm flipV="1">
              <a:off x="4460000" y="1420160"/>
              <a:ext cx="1419320" cy="1419840"/>
            </a:xfrm>
            <a:prstGeom prst="line">
              <a:avLst/>
            </a:prstGeom>
            <a:solidFill>
              <a:srgbClr val="FFFFFF"/>
            </a:solidFill>
            <a:ln w="1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9"/>
            <xdr:cNvSpPr>
              <a:spLocks/>
            </xdr:cNvSpPr>
          </xdr:nvSpPr>
          <xdr:spPr>
            <a:xfrm flipV="1">
              <a:off x="8520680" y="1400000"/>
              <a:ext cx="1419320" cy="1419840"/>
            </a:xfrm>
            <a:prstGeom prst="line">
              <a:avLst/>
            </a:prstGeom>
            <a:solidFill>
              <a:srgbClr val="FFFFFF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20"/>
            <xdr:cNvSpPr>
              <a:spLocks/>
            </xdr:cNvSpPr>
          </xdr:nvSpPr>
          <xdr:spPr>
            <a:xfrm>
              <a:off x="5879320" y="1420160"/>
              <a:ext cx="4040130" cy="0"/>
            </a:xfrm>
            <a:prstGeom prst="line">
              <a:avLst/>
            </a:prstGeom>
            <a:solidFill>
              <a:srgbClr val="FFFFFF"/>
            </a:solidFill>
            <a:ln w="1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571500</xdr:colOff>
      <xdr:row>2</xdr:row>
      <xdr:rowOff>76200</xdr:rowOff>
    </xdr:from>
    <xdr:to>
      <xdr:col>11</xdr:col>
      <xdr:colOff>457200</xdr:colOff>
      <xdr:row>15</xdr:row>
      <xdr:rowOff>123825</xdr:rowOff>
    </xdr:to>
    <xdr:grpSp>
      <xdr:nvGrpSpPr>
        <xdr:cNvPr id="18" name="Group 38"/>
        <xdr:cNvGrpSpPr>
          <a:grpSpLocks/>
        </xdr:cNvGrpSpPr>
      </xdr:nvGrpSpPr>
      <xdr:grpSpPr>
        <a:xfrm>
          <a:off x="3619500" y="400050"/>
          <a:ext cx="5219700" cy="2190750"/>
          <a:chOff x="-6258" y="-3382"/>
          <a:chExt cx="11592" cy="115"/>
        </a:xfrm>
        <a:solidFill>
          <a:srgbClr val="FFFFFF"/>
        </a:solidFill>
      </xdr:grpSpPr>
      <xdr:sp>
        <xdr:nvSpPr>
          <xdr:cNvPr id="19" name="Line 24"/>
          <xdr:cNvSpPr>
            <a:spLocks/>
          </xdr:cNvSpPr>
        </xdr:nvSpPr>
        <xdr:spPr>
          <a:xfrm>
            <a:off x="3894" y="-3382"/>
            <a:ext cx="14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5"/>
          <xdr:cNvSpPr>
            <a:spLocks/>
          </xdr:cNvSpPr>
        </xdr:nvSpPr>
        <xdr:spPr>
          <a:xfrm>
            <a:off x="3894" y="-3322"/>
            <a:ext cx="14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6"/>
          <xdr:cNvSpPr>
            <a:spLocks/>
          </xdr:cNvSpPr>
        </xdr:nvSpPr>
        <xdr:spPr>
          <a:xfrm>
            <a:off x="3894" y="-3367"/>
            <a:ext cx="14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7"/>
          <xdr:cNvSpPr>
            <a:spLocks/>
          </xdr:cNvSpPr>
        </xdr:nvSpPr>
        <xdr:spPr>
          <a:xfrm>
            <a:off x="4543" y="-3382"/>
            <a:ext cx="0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8"/>
          <xdr:cNvSpPr>
            <a:spLocks/>
          </xdr:cNvSpPr>
        </xdr:nvSpPr>
        <xdr:spPr>
          <a:xfrm>
            <a:off x="4543" y="-3367"/>
            <a:ext cx="0" cy="4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1"/>
          <xdr:cNvSpPr>
            <a:spLocks/>
          </xdr:cNvSpPr>
        </xdr:nvSpPr>
        <xdr:spPr>
          <a:xfrm>
            <a:off x="-6258" y="-3283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2"/>
          <xdr:cNvSpPr>
            <a:spLocks/>
          </xdr:cNvSpPr>
        </xdr:nvSpPr>
        <xdr:spPr>
          <a:xfrm>
            <a:off x="1051" y="-3283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3"/>
          <xdr:cNvSpPr>
            <a:spLocks/>
          </xdr:cNvSpPr>
        </xdr:nvSpPr>
        <xdr:spPr>
          <a:xfrm>
            <a:off x="-6258" y="-3270"/>
            <a:ext cx="730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4"/>
          <xdr:cNvSpPr>
            <a:spLocks/>
          </xdr:cNvSpPr>
        </xdr:nvSpPr>
        <xdr:spPr>
          <a:xfrm>
            <a:off x="1230" y="-3285"/>
            <a:ext cx="14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5"/>
          <xdr:cNvSpPr>
            <a:spLocks/>
          </xdr:cNvSpPr>
        </xdr:nvSpPr>
        <xdr:spPr>
          <a:xfrm flipH="1">
            <a:off x="1949" y="-3322"/>
            <a:ext cx="2591" cy="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2</xdr:row>
      <xdr:rowOff>142875</xdr:rowOff>
    </xdr:from>
    <xdr:to>
      <xdr:col>12</xdr:col>
      <xdr:colOff>247650</xdr:colOff>
      <xdr:row>3</xdr:row>
      <xdr:rowOff>133350</xdr:rowOff>
    </xdr:to>
    <xdr:sp>
      <xdr:nvSpPr>
        <xdr:cNvPr id="29" name="Texte 29"/>
        <xdr:cNvSpPr txBox="1">
          <a:spLocks noChangeArrowheads="1"/>
        </xdr:cNvSpPr>
      </xdr:nvSpPr>
      <xdr:spPr>
        <a:xfrm>
          <a:off x="8629650" y="466725"/>
          <a:ext cx="7620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2,050</a:t>
          </a:r>
        </a:p>
      </xdr:txBody>
    </xdr:sp>
    <xdr:clientData/>
  </xdr:twoCellAnchor>
  <xdr:twoCellAnchor>
    <xdr:from>
      <xdr:col>11</xdr:col>
      <xdr:colOff>247650</xdr:colOff>
      <xdr:row>6</xdr:row>
      <xdr:rowOff>38100</xdr:rowOff>
    </xdr:from>
    <xdr:to>
      <xdr:col>12</xdr:col>
      <xdr:colOff>247650</xdr:colOff>
      <xdr:row>7</xdr:row>
      <xdr:rowOff>38100</xdr:rowOff>
    </xdr:to>
    <xdr:sp>
      <xdr:nvSpPr>
        <xdr:cNvPr id="30" name="Texte 30"/>
        <xdr:cNvSpPr txBox="1">
          <a:spLocks noChangeArrowheads="1"/>
        </xdr:cNvSpPr>
      </xdr:nvSpPr>
      <xdr:spPr>
        <a:xfrm>
          <a:off x="8629650" y="1009650"/>
          <a:ext cx="7620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4,900</a:t>
          </a:r>
        </a:p>
      </xdr:txBody>
    </xdr:sp>
    <xdr:clientData/>
  </xdr:twoCellAnchor>
  <xdr:twoCellAnchor>
    <xdr:from>
      <xdr:col>10</xdr:col>
      <xdr:colOff>504825</xdr:colOff>
      <xdr:row>11</xdr:row>
      <xdr:rowOff>28575</xdr:rowOff>
    </xdr:from>
    <xdr:to>
      <xdr:col>11</xdr:col>
      <xdr:colOff>466725</xdr:colOff>
      <xdr:row>12</xdr:row>
      <xdr:rowOff>19050</xdr:rowOff>
    </xdr:to>
    <xdr:sp>
      <xdr:nvSpPr>
        <xdr:cNvPr id="31" name="Texte 36"/>
        <xdr:cNvSpPr txBox="1">
          <a:spLocks noChangeArrowheads="1"/>
        </xdr:cNvSpPr>
      </xdr:nvSpPr>
      <xdr:spPr>
        <a:xfrm>
          <a:off x="8124825" y="1847850"/>
          <a:ext cx="723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7,760</a:t>
          </a:r>
        </a:p>
      </xdr:txBody>
    </xdr:sp>
    <xdr:clientData/>
  </xdr:twoCellAnchor>
  <xdr:twoCellAnchor>
    <xdr:from>
      <xdr:col>6</xdr:col>
      <xdr:colOff>419100</xdr:colOff>
      <xdr:row>14</xdr:row>
      <xdr:rowOff>9525</xdr:rowOff>
    </xdr:from>
    <xdr:to>
      <xdr:col>7</xdr:col>
      <xdr:colOff>419100</xdr:colOff>
      <xdr:row>15</xdr:row>
      <xdr:rowOff>0</xdr:rowOff>
    </xdr:to>
    <xdr:sp>
      <xdr:nvSpPr>
        <xdr:cNvPr id="32" name="Texte 37"/>
        <xdr:cNvSpPr txBox="1">
          <a:spLocks noChangeArrowheads="1"/>
        </xdr:cNvSpPr>
      </xdr:nvSpPr>
      <xdr:spPr>
        <a:xfrm>
          <a:off x="4991100" y="2314575"/>
          <a:ext cx="7620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13,700</a:t>
          </a:r>
        </a:p>
      </xdr:txBody>
    </xdr:sp>
    <xdr:clientData/>
  </xdr:twoCellAnchor>
  <xdr:twoCellAnchor>
    <xdr:from>
      <xdr:col>4</xdr:col>
      <xdr:colOff>571500</xdr:colOff>
      <xdr:row>19</xdr:row>
      <xdr:rowOff>66675</xdr:rowOff>
    </xdr:from>
    <xdr:to>
      <xdr:col>12</xdr:col>
      <xdr:colOff>247650</xdr:colOff>
      <xdr:row>32</xdr:row>
      <xdr:rowOff>123825</xdr:rowOff>
    </xdr:to>
    <xdr:grpSp>
      <xdr:nvGrpSpPr>
        <xdr:cNvPr id="33" name="Group 42"/>
        <xdr:cNvGrpSpPr>
          <a:grpSpLocks/>
        </xdr:cNvGrpSpPr>
      </xdr:nvGrpSpPr>
      <xdr:grpSpPr>
        <a:xfrm>
          <a:off x="3619500" y="3181350"/>
          <a:ext cx="5772150" cy="2200275"/>
          <a:chOff x="-5587" y="-29632"/>
          <a:chExt cx="11036" cy="231"/>
        </a:xfrm>
        <a:solidFill>
          <a:srgbClr val="FFFFFF"/>
        </a:solidFill>
      </xdr:grpSpPr>
      <xdr:grpSp>
        <xdr:nvGrpSpPr>
          <xdr:cNvPr id="34" name="Group 43"/>
          <xdr:cNvGrpSpPr>
            <a:grpSpLocks/>
          </xdr:cNvGrpSpPr>
        </xdr:nvGrpSpPr>
        <xdr:grpSpPr>
          <a:xfrm>
            <a:off x="-5587" y="-29631"/>
            <a:ext cx="8495" cy="192"/>
            <a:chOff x="4460000" y="6700000"/>
            <a:chExt cx="5480000" cy="3840000"/>
          </a:xfrm>
          <a:solidFill>
            <a:srgbClr val="FFFFFF"/>
          </a:solidFill>
        </xdr:grpSpPr>
        <xdr:grpSp>
          <xdr:nvGrpSpPr>
            <xdr:cNvPr id="35" name="Group 44"/>
            <xdr:cNvGrpSpPr>
              <a:grpSpLocks/>
            </xdr:cNvGrpSpPr>
          </xdr:nvGrpSpPr>
          <xdr:grpSpPr>
            <a:xfrm>
              <a:off x="4460000" y="6700000"/>
              <a:ext cx="5480000" cy="3840000"/>
              <a:chOff x="4460000" y="6700000"/>
              <a:chExt cx="5480000" cy="3840000"/>
            </a:xfrm>
            <a:solidFill>
              <a:srgbClr val="FFFFFF"/>
            </a:solidFill>
          </xdr:grpSpPr>
          <xdr:grpSp>
            <xdr:nvGrpSpPr>
              <xdr:cNvPr id="36" name="Group 45"/>
              <xdr:cNvGrpSpPr>
                <a:grpSpLocks/>
              </xdr:cNvGrpSpPr>
            </xdr:nvGrpSpPr>
            <xdr:grpSpPr>
              <a:xfrm>
                <a:off x="4460000" y="6700000"/>
                <a:ext cx="5480000" cy="3840000"/>
                <a:chOff x="4460000" y="6700000"/>
                <a:chExt cx="5480000" cy="3840000"/>
              </a:xfrm>
              <a:solidFill>
                <a:srgbClr val="FFFFFF"/>
              </a:solidFill>
            </xdr:grpSpPr>
            <xdr:sp>
              <xdr:nvSpPr>
                <xdr:cNvPr id="37" name="Rectangle 46"/>
                <xdr:cNvSpPr>
                  <a:spLocks/>
                </xdr:cNvSpPr>
              </xdr:nvSpPr>
              <xdr:spPr>
                <a:xfrm>
                  <a:off x="5879320" y="6700000"/>
                  <a:ext cx="4060680" cy="2320320"/>
                </a:xfrm>
                <a:prstGeom prst="rect">
                  <a:avLst/>
                </a:prstGeom>
                <a:noFill/>
                <a:ln w="1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" name="Line 47"/>
                <xdr:cNvSpPr>
                  <a:spLocks/>
                </xdr:cNvSpPr>
              </xdr:nvSpPr>
              <xdr:spPr>
                <a:xfrm flipV="1">
                  <a:off x="4460000" y="9020320"/>
                  <a:ext cx="1419320" cy="1519680"/>
                </a:xfrm>
                <a:prstGeom prst="line">
                  <a:avLst/>
                </a:prstGeom>
                <a:solidFill>
                  <a:srgbClr val="FFFFFF"/>
                </a:solidFill>
                <a:ln w="1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9" name="Group 48"/>
              <xdr:cNvGrpSpPr>
                <a:grpSpLocks/>
              </xdr:cNvGrpSpPr>
            </xdr:nvGrpSpPr>
            <xdr:grpSpPr>
              <a:xfrm>
                <a:off x="4460000" y="6700000"/>
                <a:ext cx="5480000" cy="3840000"/>
                <a:chOff x="4460000" y="6700000"/>
                <a:chExt cx="5480000" cy="3840000"/>
              </a:xfrm>
              <a:solidFill>
                <a:srgbClr val="FFFFFF"/>
              </a:solidFill>
            </xdr:grpSpPr>
            <xdr:sp>
              <xdr:nvSpPr>
                <xdr:cNvPr id="40" name="Rectangle 49"/>
                <xdr:cNvSpPr>
                  <a:spLocks/>
                </xdr:cNvSpPr>
              </xdr:nvSpPr>
              <xdr:spPr>
                <a:xfrm>
                  <a:off x="4460000" y="8180320"/>
                  <a:ext cx="4060680" cy="2359680"/>
                </a:xfrm>
                <a:prstGeom prst="rect">
                  <a:avLst/>
                </a:prstGeom>
                <a:noFill/>
                <a:ln w="1714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" name="Line 50"/>
                <xdr:cNvSpPr>
                  <a:spLocks/>
                </xdr:cNvSpPr>
              </xdr:nvSpPr>
              <xdr:spPr>
                <a:xfrm flipV="1">
                  <a:off x="8520680" y="9020320"/>
                  <a:ext cx="1419320" cy="1519680"/>
                </a:xfrm>
                <a:prstGeom prst="line">
                  <a:avLst/>
                </a:prstGeom>
                <a:solidFill>
                  <a:srgbClr val="FFFFFF"/>
                </a:solidFill>
                <a:ln w="1714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2" name="Line 51"/>
                <xdr:cNvSpPr>
                  <a:spLocks/>
                </xdr:cNvSpPr>
              </xdr:nvSpPr>
              <xdr:spPr>
                <a:xfrm flipV="1">
                  <a:off x="8520680" y="6700000"/>
                  <a:ext cx="1419320" cy="1480320"/>
                </a:xfrm>
                <a:prstGeom prst="line">
                  <a:avLst/>
                </a:prstGeom>
                <a:solidFill>
                  <a:srgbClr val="FFFFFF"/>
                </a:solidFill>
                <a:ln w="1714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3" name="Line 52"/>
                <xdr:cNvSpPr>
                  <a:spLocks/>
                </xdr:cNvSpPr>
              </xdr:nvSpPr>
              <xdr:spPr>
                <a:xfrm flipV="1">
                  <a:off x="4460000" y="6700000"/>
                  <a:ext cx="1419320" cy="1480320"/>
                </a:xfrm>
                <a:prstGeom prst="line">
                  <a:avLst/>
                </a:prstGeom>
                <a:solidFill>
                  <a:srgbClr val="FFFFFF"/>
                </a:solidFill>
                <a:ln w="1714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4" name="Line 53"/>
                <xdr:cNvSpPr>
                  <a:spLocks/>
                </xdr:cNvSpPr>
              </xdr:nvSpPr>
              <xdr:spPr>
                <a:xfrm>
                  <a:off x="5879320" y="6700000"/>
                  <a:ext cx="4060680" cy="0"/>
                </a:xfrm>
                <a:prstGeom prst="line">
                  <a:avLst/>
                </a:prstGeom>
                <a:solidFill>
                  <a:srgbClr val="FFFFFF"/>
                </a:solidFill>
                <a:ln w="1714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5" name="Line 54"/>
                <xdr:cNvSpPr>
                  <a:spLocks/>
                </xdr:cNvSpPr>
              </xdr:nvSpPr>
              <xdr:spPr>
                <a:xfrm>
                  <a:off x="9940000" y="6700000"/>
                  <a:ext cx="0" cy="2320320"/>
                </a:xfrm>
                <a:prstGeom prst="line">
                  <a:avLst/>
                </a:prstGeom>
                <a:solidFill>
                  <a:srgbClr val="FFFFFF"/>
                </a:solidFill>
                <a:ln w="1714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46" name="Group 55"/>
            <xdr:cNvGrpSpPr>
              <a:grpSpLocks/>
            </xdr:cNvGrpSpPr>
          </xdr:nvGrpSpPr>
          <xdr:grpSpPr>
            <a:xfrm>
              <a:off x="4460000" y="7279840"/>
              <a:ext cx="5480000" cy="1360320"/>
              <a:chOff x="4460000" y="7280000"/>
              <a:chExt cx="5480000" cy="1360000"/>
            </a:xfrm>
            <a:solidFill>
              <a:srgbClr val="FFFFFF"/>
            </a:solidFill>
          </xdr:grpSpPr>
          <xdr:sp>
            <xdr:nvSpPr>
              <xdr:cNvPr id="47" name="Line 56"/>
              <xdr:cNvSpPr>
                <a:spLocks/>
              </xdr:cNvSpPr>
            </xdr:nvSpPr>
            <xdr:spPr>
              <a:xfrm>
                <a:off x="4460000" y="8619940"/>
                <a:ext cx="4040130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Line 57"/>
              <xdr:cNvSpPr>
                <a:spLocks/>
              </xdr:cNvSpPr>
            </xdr:nvSpPr>
            <xdr:spPr>
              <a:xfrm flipV="1">
                <a:off x="4460000" y="7300060"/>
                <a:ext cx="1419320" cy="1339940"/>
              </a:xfrm>
              <a:prstGeom prst="line">
                <a:avLst/>
              </a:prstGeom>
              <a:solidFill>
                <a:srgbClr val="FFFFFF"/>
              </a:solidFill>
              <a:ln w="1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" name="Line 58"/>
              <xdr:cNvSpPr>
                <a:spLocks/>
              </xdr:cNvSpPr>
            </xdr:nvSpPr>
            <xdr:spPr>
              <a:xfrm flipV="1">
                <a:off x="8520680" y="7280000"/>
                <a:ext cx="1419320" cy="1339940"/>
              </a:xfrm>
              <a:prstGeom prst="line">
                <a:avLst/>
              </a:prstGeom>
              <a:solidFill>
                <a:srgbClr val="FFFFFF"/>
              </a:solidFill>
              <a:ln w="1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Line 59"/>
              <xdr:cNvSpPr>
                <a:spLocks/>
              </xdr:cNvSpPr>
            </xdr:nvSpPr>
            <xdr:spPr>
              <a:xfrm>
                <a:off x="5879320" y="7300060"/>
                <a:ext cx="4040130" cy="0"/>
              </a:xfrm>
              <a:prstGeom prst="line">
                <a:avLst/>
              </a:prstGeom>
              <a:solidFill>
                <a:srgbClr val="FFFFFF"/>
              </a:solidFill>
              <a:ln w="1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51" name="Group 60"/>
          <xdr:cNvGrpSpPr>
            <a:grpSpLocks/>
          </xdr:cNvGrpSpPr>
        </xdr:nvGrpSpPr>
        <xdr:grpSpPr>
          <a:xfrm>
            <a:off x="-5587" y="-29632"/>
            <a:ext cx="11036" cy="231"/>
            <a:chOff x="4460000" y="6680000"/>
            <a:chExt cx="7120000" cy="4620000"/>
          </a:xfrm>
          <a:solidFill>
            <a:srgbClr val="FFFFFF"/>
          </a:solidFill>
        </xdr:grpSpPr>
        <xdr:grpSp>
          <xdr:nvGrpSpPr>
            <xdr:cNvPr id="52" name="Group 61"/>
            <xdr:cNvGrpSpPr>
              <a:grpSpLocks/>
            </xdr:cNvGrpSpPr>
          </xdr:nvGrpSpPr>
          <xdr:grpSpPr>
            <a:xfrm>
              <a:off x="4460000" y="6680000"/>
              <a:ext cx="6440040" cy="4620000"/>
              <a:chOff x="4460000" y="6680000"/>
              <a:chExt cx="6440000" cy="4620000"/>
            </a:xfrm>
            <a:solidFill>
              <a:srgbClr val="FFFFFF"/>
            </a:solidFill>
          </xdr:grpSpPr>
          <xdr:sp>
            <xdr:nvSpPr>
              <xdr:cNvPr id="53" name="Line 62"/>
              <xdr:cNvSpPr>
                <a:spLocks/>
              </xdr:cNvSpPr>
            </xdr:nvSpPr>
            <xdr:spPr>
              <a:xfrm>
                <a:off x="10099830" y="6680000"/>
                <a:ext cx="800170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Line 63"/>
              <xdr:cNvSpPr>
                <a:spLocks/>
              </xdr:cNvSpPr>
            </xdr:nvSpPr>
            <xdr:spPr>
              <a:xfrm>
                <a:off x="10099830" y="9020030"/>
                <a:ext cx="800170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64"/>
              <xdr:cNvSpPr>
                <a:spLocks/>
              </xdr:cNvSpPr>
            </xdr:nvSpPr>
            <xdr:spPr>
              <a:xfrm>
                <a:off x="10099830" y="7300235"/>
                <a:ext cx="800170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Line 65"/>
              <xdr:cNvSpPr>
                <a:spLocks/>
              </xdr:cNvSpPr>
            </xdr:nvSpPr>
            <xdr:spPr>
              <a:xfrm>
                <a:off x="10460470" y="6699635"/>
                <a:ext cx="0" cy="59944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7" name="Line 66"/>
              <xdr:cNvSpPr>
                <a:spLocks/>
              </xdr:cNvSpPr>
            </xdr:nvSpPr>
            <xdr:spPr>
              <a:xfrm>
                <a:off x="10460470" y="7300235"/>
                <a:ext cx="0" cy="171979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Line 67"/>
              <xdr:cNvSpPr>
                <a:spLocks/>
              </xdr:cNvSpPr>
            </xdr:nvSpPr>
            <xdr:spPr>
              <a:xfrm>
                <a:off x="4460000" y="10640495"/>
                <a:ext cx="0" cy="65950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Line 68"/>
              <xdr:cNvSpPr>
                <a:spLocks/>
              </xdr:cNvSpPr>
            </xdr:nvSpPr>
            <xdr:spPr>
              <a:xfrm>
                <a:off x="8520420" y="10640495"/>
                <a:ext cx="0" cy="65950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Line 69"/>
              <xdr:cNvSpPr>
                <a:spLocks/>
              </xdr:cNvSpPr>
            </xdr:nvSpPr>
            <xdr:spPr>
              <a:xfrm>
                <a:off x="4460000" y="11160245"/>
                <a:ext cx="4060420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Line 70"/>
              <xdr:cNvSpPr>
                <a:spLocks/>
              </xdr:cNvSpPr>
            </xdr:nvSpPr>
            <xdr:spPr>
              <a:xfrm>
                <a:off x="8620240" y="10540010"/>
                <a:ext cx="800170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Line 71"/>
              <xdr:cNvSpPr>
                <a:spLocks/>
              </xdr:cNvSpPr>
            </xdr:nvSpPr>
            <xdr:spPr>
              <a:xfrm flipH="1">
                <a:off x="9019520" y="9020030"/>
                <a:ext cx="1439340" cy="151998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3" name="Group 72"/>
            <xdr:cNvGrpSpPr>
              <a:grpSpLocks/>
            </xdr:cNvGrpSpPr>
          </xdr:nvGrpSpPr>
          <xdr:grpSpPr>
            <a:xfrm>
              <a:off x="6159900" y="6840545"/>
              <a:ext cx="5420100" cy="4199580"/>
              <a:chOff x="6160000" y="6840000"/>
              <a:chExt cx="5420000" cy="4200000"/>
            </a:xfrm>
            <a:solidFill>
              <a:srgbClr val="FFFFFF"/>
            </a:solidFill>
          </xdr:grpSpPr>
          <xdr:sp>
            <xdr:nvSpPr>
              <xdr:cNvPr id="64" name="Texte 73"/>
              <xdr:cNvSpPr txBox="1">
                <a:spLocks noChangeArrowheads="1"/>
              </xdr:cNvSpPr>
            </xdr:nvSpPr>
            <xdr:spPr>
              <a:xfrm>
                <a:off x="10639630" y="6840000"/>
                <a:ext cx="940370" cy="3402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1,150</a:t>
                </a:r>
              </a:p>
            </xdr:txBody>
          </xdr:sp>
          <xdr:sp>
            <xdr:nvSpPr>
              <xdr:cNvPr id="65" name="Texte 74"/>
              <xdr:cNvSpPr txBox="1">
                <a:spLocks noChangeArrowheads="1"/>
              </xdr:cNvSpPr>
            </xdr:nvSpPr>
            <xdr:spPr>
              <a:xfrm>
                <a:off x="10639630" y="8000250"/>
                <a:ext cx="940370" cy="36015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5,800</a:t>
                </a:r>
              </a:p>
            </xdr:txBody>
          </xdr:sp>
          <xdr:sp>
            <xdr:nvSpPr>
              <xdr:cNvPr id="66" name="Texte 75"/>
              <xdr:cNvSpPr txBox="1">
                <a:spLocks noChangeArrowheads="1"/>
              </xdr:cNvSpPr>
            </xdr:nvSpPr>
            <xdr:spPr>
              <a:xfrm>
                <a:off x="10020395" y="9720150"/>
                <a:ext cx="899720" cy="32025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8,000</a:t>
                </a:r>
              </a:p>
            </xdr:txBody>
          </xdr:sp>
          <xdr:sp>
            <xdr:nvSpPr>
              <xdr:cNvPr id="67" name="Texte 76"/>
              <xdr:cNvSpPr txBox="1">
                <a:spLocks noChangeArrowheads="1"/>
              </xdr:cNvSpPr>
            </xdr:nvSpPr>
            <xdr:spPr>
              <a:xfrm>
                <a:off x="6160000" y="10699800"/>
                <a:ext cx="940370" cy="3402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13,700</a:t>
                </a:r>
              </a:p>
            </xdr:txBody>
          </xdr:sp>
        </xdr:grpSp>
      </xdr:grpSp>
    </xdr:grpSp>
    <xdr:clientData/>
  </xdr:twoCellAnchor>
  <xdr:twoCellAnchor>
    <xdr:from>
      <xdr:col>4</xdr:col>
      <xdr:colOff>571500</xdr:colOff>
      <xdr:row>36</xdr:row>
      <xdr:rowOff>76200</xdr:rowOff>
    </xdr:from>
    <xdr:to>
      <xdr:col>10</xdr:col>
      <xdr:colOff>438150</xdr:colOff>
      <xdr:row>47</xdr:row>
      <xdr:rowOff>66675</xdr:rowOff>
    </xdr:to>
    <xdr:grpSp>
      <xdr:nvGrpSpPr>
        <xdr:cNvPr id="68" name="Group 78"/>
        <xdr:cNvGrpSpPr>
          <a:grpSpLocks/>
        </xdr:cNvGrpSpPr>
      </xdr:nvGrpSpPr>
      <xdr:grpSpPr>
        <a:xfrm>
          <a:off x="3619500" y="5981700"/>
          <a:ext cx="4438650" cy="1809750"/>
          <a:chOff x="-7301" y="-67510"/>
          <a:chExt cx="11508" cy="190"/>
        </a:xfrm>
        <a:solidFill>
          <a:srgbClr val="FFFFFF"/>
        </a:solidFill>
      </xdr:grpSpPr>
      <xdr:grpSp>
        <xdr:nvGrpSpPr>
          <xdr:cNvPr id="69" name="Group 79"/>
          <xdr:cNvGrpSpPr>
            <a:grpSpLocks/>
          </xdr:cNvGrpSpPr>
        </xdr:nvGrpSpPr>
        <xdr:grpSpPr>
          <a:xfrm>
            <a:off x="-7301" y="-67510"/>
            <a:ext cx="11508" cy="190"/>
            <a:chOff x="4460000" y="12560000"/>
            <a:chExt cx="5480000" cy="3800000"/>
          </a:xfrm>
          <a:solidFill>
            <a:srgbClr val="FFFFFF"/>
          </a:solidFill>
        </xdr:grpSpPr>
        <xdr:grpSp>
          <xdr:nvGrpSpPr>
            <xdr:cNvPr id="70" name="Group 80"/>
            <xdr:cNvGrpSpPr>
              <a:grpSpLocks/>
            </xdr:cNvGrpSpPr>
          </xdr:nvGrpSpPr>
          <xdr:grpSpPr>
            <a:xfrm>
              <a:off x="4460000" y="12560000"/>
              <a:ext cx="5480000" cy="3800000"/>
              <a:chOff x="4460000" y="12560000"/>
              <a:chExt cx="5480000" cy="3800000"/>
            </a:xfrm>
            <a:solidFill>
              <a:srgbClr val="FFFFFF"/>
            </a:solidFill>
          </xdr:grpSpPr>
          <xdr:sp>
            <xdr:nvSpPr>
              <xdr:cNvPr id="71" name="Rectangle 81"/>
              <xdr:cNvSpPr>
                <a:spLocks/>
              </xdr:cNvSpPr>
            </xdr:nvSpPr>
            <xdr:spPr>
              <a:xfrm>
                <a:off x="5879320" y="12560000"/>
                <a:ext cx="4060680" cy="2240100"/>
              </a:xfrm>
              <a:prstGeom prst="rect">
                <a:avLst/>
              </a:prstGeom>
              <a:noFill/>
              <a:ln w="1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" name="Line 82"/>
              <xdr:cNvSpPr>
                <a:spLocks/>
              </xdr:cNvSpPr>
            </xdr:nvSpPr>
            <xdr:spPr>
              <a:xfrm flipV="1">
                <a:off x="4460000" y="14800100"/>
                <a:ext cx="1419320" cy="1559900"/>
              </a:xfrm>
              <a:prstGeom prst="line">
                <a:avLst/>
              </a:prstGeom>
              <a:solidFill>
                <a:srgbClr val="FFFFFF"/>
              </a:solidFill>
              <a:ln w="1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3" name="Group 83"/>
            <xdr:cNvGrpSpPr>
              <a:grpSpLocks/>
            </xdr:cNvGrpSpPr>
          </xdr:nvGrpSpPr>
          <xdr:grpSpPr>
            <a:xfrm>
              <a:off x="4460000" y="12560000"/>
              <a:ext cx="5480000" cy="3800000"/>
              <a:chOff x="4460000" y="12560000"/>
              <a:chExt cx="5480000" cy="3800000"/>
            </a:xfrm>
            <a:solidFill>
              <a:srgbClr val="FFFFFF"/>
            </a:solidFill>
          </xdr:grpSpPr>
          <xdr:sp>
            <xdr:nvSpPr>
              <xdr:cNvPr id="74" name="Rectangle 84"/>
              <xdr:cNvSpPr>
                <a:spLocks/>
              </xdr:cNvSpPr>
            </xdr:nvSpPr>
            <xdr:spPr>
              <a:xfrm>
                <a:off x="4460000" y="14080000"/>
                <a:ext cx="4060680" cy="2280000"/>
              </a:xfrm>
              <a:prstGeom prst="rect">
                <a:avLst/>
              </a:prstGeom>
              <a:noFill/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" name="Line 85"/>
              <xdr:cNvSpPr>
                <a:spLocks/>
              </xdr:cNvSpPr>
            </xdr:nvSpPr>
            <xdr:spPr>
              <a:xfrm flipV="1">
                <a:off x="8520680" y="14800100"/>
                <a:ext cx="1419320" cy="1559900"/>
              </a:xfrm>
              <a:prstGeom prst="line">
                <a:avLst/>
              </a:prstGeom>
              <a:solidFill>
                <a:srgbClr val="FFFFFF"/>
              </a:solidFill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6" name="Line 86"/>
              <xdr:cNvSpPr>
                <a:spLocks/>
              </xdr:cNvSpPr>
            </xdr:nvSpPr>
            <xdr:spPr>
              <a:xfrm flipV="1">
                <a:off x="8520680" y="12560000"/>
                <a:ext cx="1419320" cy="1520000"/>
              </a:xfrm>
              <a:prstGeom prst="line">
                <a:avLst/>
              </a:prstGeom>
              <a:solidFill>
                <a:srgbClr val="FFFFFF"/>
              </a:solidFill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7" name="Line 87"/>
              <xdr:cNvSpPr>
                <a:spLocks/>
              </xdr:cNvSpPr>
            </xdr:nvSpPr>
            <xdr:spPr>
              <a:xfrm flipV="1">
                <a:off x="4460000" y="12560000"/>
                <a:ext cx="1419320" cy="1520000"/>
              </a:xfrm>
              <a:prstGeom prst="line">
                <a:avLst/>
              </a:prstGeom>
              <a:solidFill>
                <a:srgbClr val="FFFFFF"/>
              </a:solidFill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88"/>
              <xdr:cNvSpPr>
                <a:spLocks/>
              </xdr:cNvSpPr>
            </xdr:nvSpPr>
            <xdr:spPr>
              <a:xfrm>
                <a:off x="5879320" y="12560000"/>
                <a:ext cx="4060680" cy="0"/>
              </a:xfrm>
              <a:prstGeom prst="line">
                <a:avLst/>
              </a:prstGeom>
              <a:solidFill>
                <a:srgbClr val="FFFFFF"/>
              </a:solidFill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Line 89"/>
              <xdr:cNvSpPr>
                <a:spLocks/>
              </xdr:cNvSpPr>
            </xdr:nvSpPr>
            <xdr:spPr>
              <a:xfrm>
                <a:off x="9940000" y="12560000"/>
                <a:ext cx="0" cy="2240100"/>
              </a:xfrm>
              <a:prstGeom prst="line">
                <a:avLst/>
              </a:prstGeom>
              <a:solidFill>
                <a:srgbClr val="FFFFFF"/>
              </a:solidFill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80" name="Group 90"/>
          <xdr:cNvGrpSpPr>
            <a:grpSpLocks/>
          </xdr:cNvGrpSpPr>
        </xdr:nvGrpSpPr>
        <xdr:grpSpPr>
          <a:xfrm>
            <a:off x="-7301" y="-67480"/>
            <a:ext cx="11508" cy="65"/>
            <a:chOff x="4460000" y="13160000"/>
            <a:chExt cx="5480000" cy="1300000"/>
          </a:xfrm>
          <a:solidFill>
            <a:srgbClr val="FFFFFF"/>
          </a:solidFill>
        </xdr:grpSpPr>
        <xdr:sp>
          <xdr:nvSpPr>
            <xdr:cNvPr id="81" name="Line 91"/>
            <xdr:cNvSpPr>
              <a:spLocks/>
            </xdr:cNvSpPr>
          </xdr:nvSpPr>
          <xdr:spPr>
            <a:xfrm>
              <a:off x="4460000" y="14460000"/>
              <a:ext cx="404013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92"/>
            <xdr:cNvSpPr>
              <a:spLocks/>
            </xdr:cNvSpPr>
          </xdr:nvSpPr>
          <xdr:spPr>
            <a:xfrm flipV="1">
              <a:off x="4460000" y="13180150"/>
              <a:ext cx="1419320" cy="1279850"/>
            </a:xfrm>
            <a:prstGeom prst="line">
              <a:avLst/>
            </a:prstGeom>
            <a:solidFill>
              <a:srgbClr val="FFFFFF"/>
            </a:solidFill>
            <a:ln w="1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93"/>
            <xdr:cNvSpPr>
              <a:spLocks/>
            </xdr:cNvSpPr>
          </xdr:nvSpPr>
          <xdr:spPr>
            <a:xfrm flipV="1">
              <a:off x="8520680" y="13160000"/>
              <a:ext cx="1419320" cy="1300000"/>
            </a:xfrm>
            <a:prstGeom prst="line">
              <a:avLst/>
            </a:prstGeom>
            <a:solidFill>
              <a:srgbClr val="FFFFFF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94"/>
            <xdr:cNvSpPr>
              <a:spLocks/>
            </xdr:cNvSpPr>
          </xdr:nvSpPr>
          <xdr:spPr>
            <a:xfrm>
              <a:off x="5879320" y="13180150"/>
              <a:ext cx="4040130" cy="0"/>
            </a:xfrm>
            <a:prstGeom prst="line">
              <a:avLst/>
            </a:prstGeom>
            <a:solidFill>
              <a:srgbClr val="FFFFFF"/>
            </a:solidFill>
            <a:ln w="1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571500</xdr:colOff>
      <xdr:row>36</xdr:row>
      <xdr:rowOff>66675</xdr:rowOff>
    </xdr:from>
    <xdr:to>
      <xdr:col>11</xdr:col>
      <xdr:colOff>457200</xdr:colOff>
      <xdr:row>49</xdr:row>
      <xdr:rowOff>123825</xdr:rowOff>
    </xdr:to>
    <xdr:grpSp>
      <xdr:nvGrpSpPr>
        <xdr:cNvPr id="85" name="Group 96"/>
        <xdr:cNvGrpSpPr>
          <a:grpSpLocks/>
        </xdr:cNvGrpSpPr>
      </xdr:nvGrpSpPr>
      <xdr:grpSpPr>
        <a:xfrm>
          <a:off x="3619500" y="5972175"/>
          <a:ext cx="5219700" cy="2200275"/>
          <a:chOff x="-6258" y="-55902"/>
          <a:chExt cx="11592" cy="231"/>
        </a:xfrm>
        <a:solidFill>
          <a:srgbClr val="FFFFFF"/>
        </a:solidFill>
      </xdr:grpSpPr>
      <xdr:sp>
        <xdr:nvSpPr>
          <xdr:cNvPr id="86" name="Line 97"/>
          <xdr:cNvSpPr>
            <a:spLocks/>
          </xdr:cNvSpPr>
        </xdr:nvSpPr>
        <xdr:spPr>
          <a:xfrm>
            <a:off x="3894" y="-55902"/>
            <a:ext cx="14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98"/>
          <xdr:cNvSpPr>
            <a:spLocks/>
          </xdr:cNvSpPr>
        </xdr:nvSpPr>
        <xdr:spPr>
          <a:xfrm>
            <a:off x="3894" y="-55788"/>
            <a:ext cx="14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99"/>
          <xdr:cNvSpPr>
            <a:spLocks/>
          </xdr:cNvSpPr>
        </xdr:nvSpPr>
        <xdr:spPr>
          <a:xfrm>
            <a:off x="3894" y="-55870"/>
            <a:ext cx="14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00"/>
          <xdr:cNvSpPr>
            <a:spLocks/>
          </xdr:cNvSpPr>
        </xdr:nvSpPr>
        <xdr:spPr>
          <a:xfrm>
            <a:off x="4543" y="-55901"/>
            <a:ext cx="0" cy="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01"/>
          <xdr:cNvSpPr>
            <a:spLocks/>
          </xdr:cNvSpPr>
        </xdr:nvSpPr>
        <xdr:spPr>
          <a:xfrm>
            <a:off x="4543" y="-55870"/>
            <a:ext cx="0" cy="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02"/>
          <xdr:cNvSpPr>
            <a:spLocks/>
          </xdr:cNvSpPr>
        </xdr:nvSpPr>
        <xdr:spPr>
          <a:xfrm>
            <a:off x="-6258" y="-55705"/>
            <a:ext cx="0" cy="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03"/>
          <xdr:cNvSpPr>
            <a:spLocks/>
          </xdr:cNvSpPr>
        </xdr:nvSpPr>
        <xdr:spPr>
          <a:xfrm>
            <a:off x="1051" y="-55705"/>
            <a:ext cx="0" cy="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04"/>
          <xdr:cNvSpPr>
            <a:spLocks/>
          </xdr:cNvSpPr>
        </xdr:nvSpPr>
        <xdr:spPr>
          <a:xfrm>
            <a:off x="-6258" y="-55678"/>
            <a:ext cx="730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05"/>
          <xdr:cNvSpPr>
            <a:spLocks/>
          </xdr:cNvSpPr>
        </xdr:nvSpPr>
        <xdr:spPr>
          <a:xfrm>
            <a:off x="1230" y="-55709"/>
            <a:ext cx="14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06"/>
          <xdr:cNvSpPr>
            <a:spLocks/>
          </xdr:cNvSpPr>
        </xdr:nvSpPr>
        <xdr:spPr>
          <a:xfrm flipH="1">
            <a:off x="1949" y="-55788"/>
            <a:ext cx="2591" cy="7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36</xdr:row>
      <xdr:rowOff>142875</xdr:rowOff>
    </xdr:from>
    <xdr:to>
      <xdr:col>12</xdr:col>
      <xdr:colOff>247650</xdr:colOff>
      <xdr:row>37</xdr:row>
      <xdr:rowOff>152400</xdr:rowOff>
    </xdr:to>
    <xdr:sp>
      <xdr:nvSpPr>
        <xdr:cNvPr id="96" name="Texte 108"/>
        <xdr:cNvSpPr txBox="1">
          <a:spLocks noChangeArrowheads="1"/>
        </xdr:cNvSpPr>
      </xdr:nvSpPr>
      <xdr:spPr>
        <a:xfrm>
          <a:off x="8629650" y="6048375"/>
          <a:ext cx="7620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0,500</a:t>
          </a:r>
        </a:p>
      </xdr:txBody>
    </xdr:sp>
    <xdr:clientData/>
  </xdr:twoCellAnchor>
  <xdr:twoCellAnchor>
    <xdr:from>
      <xdr:col>11</xdr:col>
      <xdr:colOff>247650</xdr:colOff>
      <xdr:row>40</xdr:row>
      <xdr:rowOff>76200</xdr:rowOff>
    </xdr:from>
    <xdr:to>
      <xdr:col>12</xdr:col>
      <xdr:colOff>247650</xdr:colOff>
      <xdr:row>41</xdr:row>
      <xdr:rowOff>95250</xdr:rowOff>
    </xdr:to>
    <xdr:sp>
      <xdr:nvSpPr>
        <xdr:cNvPr id="97" name="Texte 109"/>
        <xdr:cNvSpPr txBox="1">
          <a:spLocks noChangeArrowheads="1"/>
        </xdr:cNvSpPr>
      </xdr:nvSpPr>
      <xdr:spPr>
        <a:xfrm>
          <a:off x="8629650" y="6629400"/>
          <a:ext cx="762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6,450</a:t>
          </a:r>
        </a:p>
      </xdr:txBody>
    </xdr:sp>
    <xdr:clientData/>
  </xdr:twoCellAnchor>
  <xdr:twoCellAnchor>
    <xdr:from>
      <xdr:col>10</xdr:col>
      <xdr:colOff>504825</xdr:colOff>
      <xdr:row>44</xdr:row>
      <xdr:rowOff>152400</xdr:rowOff>
    </xdr:from>
    <xdr:to>
      <xdr:col>11</xdr:col>
      <xdr:colOff>466725</xdr:colOff>
      <xdr:row>45</xdr:row>
      <xdr:rowOff>142875</xdr:rowOff>
    </xdr:to>
    <xdr:sp>
      <xdr:nvSpPr>
        <xdr:cNvPr id="98" name="Texte 110"/>
        <xdr:cNvSpPr txBox="1">
          <a:spLocks noChangeArrowheads="1"/>
        </xdr:cNvSpPr>
      </xdr:nvSpPr>
      <xdr:spPr>
        <a:xfrm>
          <a:off x="8124825" y="7391400"/>
          <a:ext cx="723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7,880</a:t>
          </a:r>
        </a:p>
      </xdr:txBody>
    </xdr:sp>
    <xdr:clientData/>
  </xdr:twoCellAnchor>
  <xdr:twoCellAnchor>
    <xdr:from>
      <xdr:col>6</xdr:col>
      <xdr:colOff>419100</xdr:colOff>
      <xdr:row>47</xdr:row>
      <xdr:rowOff>152400</xdr:rowOff>
    </xdr:from>
    <xdr:to>
      <xdr:col>7</xdr:col>
      <xdr:colOff>419100</xdr:colOff>
      <xdr:row>49</xdr:row>
      <xdr:rowOff>0</xdr:rowOff>
    </xdr:to>
    <xdr:sp>
      <xdr:nvSpPr>
        <xdr:cNvPr id="99" name="Texte 111"/>
        <xdr:cNvSpPr txBox="1">
          <a:spLocks noChangeArrowheads="1"/>
        </xdr:cNvSpPr>
      </xdr:nvSpPr>
      <xdr:spPr>
        <a:xfrm>
          <a:off x="4991100" y="7877175"/>
          <a:ext cx="7620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6,630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53</xdr:row>
      <xdr:rowOff>0</xdr:rowOff>
    </xdr:from>
    <xdr:to>
      <xdr:col>3</xdr:col>
      <xdr:colOff>581025</xdr:colOff>
      <xdr:row>53</xdr:row>
      <xdr:rowOff>0</xdr:rowOff>
    </xdr:to>
    <xdr:sp>
      <xdr:nvSpPr>
        <xdr:cNvPr id="1" name="Line 33"/>
        <xdr:cNvSpPr>
          <a:spLocks/>
        </xdr:cNvSpPr>
      </xdr:nvSpPr>
      <xdr:spPr>
        <a:xfrm flipV="1">
          <a:off x="2371725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115</xdr:row>
      <xdr:rowOff>47625</xdr:rowOff>
    </xdr:from>
    <xdr:to>
      <xdr:col>1</xdr:col>
      <xdr:colOff>0</xdr:colOff>
      <xdr:row>115</xdr:row>
      <xdr:rowOff>47625</xdr:rowOff>
    </xdr:to>
    <xdr:sp>
      <xdr:nvSpPr>
        <xdr:cNvPr id="2" name="Line 155"/>
        <xdr:cNvSpPr>
          <a:spLocks/>
        </xdr:cNvSpPr>
      </xdr:nvSpPr>
      <xdr:spPr>
        <a:xfrm flipH="1">
          <a:off x="762000" y="21326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107</xdr:row>
      <xdr:rowOff>104775</xdr:rowOff>
    </xdr:from>
    <xdr:to>
      <xdr:col>4</xdr:col>
      <xdr:colOff>28575</xdr:colOff>
      <xdr:row>113</xdr:row>
      <xdr:rowOff>38100</xdr:rowOff>
    </xdr:to>
    <xdr:grpSp>
      <xdr:nvGrpSpPr>
        <xdr:cNvPr id="3" name="Group 153"/>
        <xdr:cNvGrpSpPr>
          <a:grpSpLocks/>
        </xdr:cNvGrpSpPr>
      </xdr:nvGrpSpPr>
      <xdr:grpSpPr>
        <a:xfrm>
          <a:off x="809625" y="20069175"/>
          <a:ext cx="1771650" cy="923925"/>
          <a:chOff x="-8001" y="-160073"/>
          <a:chExt cx="16960" cy="194"/>
        </a:xfrm>
        <a:solidFill>
          <a:srgbClr val="FFFFFF"/>
        </a:solidFill>
      </xdr:grpSpPr>
      <xdr:sp>
        <xdr:nvSpPr>
          <xdr:cNvPr id="4" name="Line 149"/>
          <xdr:cNvSpPr>
            <a:spLocks/>
          </xdr:cNvSpPr>
        </xdr:nvSpPr>
        <xdr:spPr>
          <a:xfrm>
            <a:off x="-8001" y="-160073"/>
            <a:ext cx="0" cy="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50"/>
          <xdr:cNvSpPr>
            <a:spLocks/>
          </xdr:cNvSpPr>
        </xdr:nvSpPr>
        <xdr:spPr>
          <a:xfrm>
            <a:off x="-6835" y="-160073"/>
            <a:ext cx="0" cy="1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51"/>
          <xdr:cNvSpPr>
            <a:spLocks/>
          </xdr:cNvSpPr>
        </xdr:nvSpPr>
        <xdr:spPr>
          <a:xfrm>
            <a:off x="-6835" y="-159903"/>
            <a:ext cx="1579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52"/>
          <xdr:cNvSpPr>
            <a:spLocks/>
          </xdr:cNvSpPr>
        </xdr:nvSpPr>
        <xdr:spPr>
          <a:xfrm>
            <a:off x="-8001" y="-159879"/>
            <a:ext cx="1685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247650</xdr:colOff>
      <xdr:row>111</xdr:row>
      <xdr:rowOff>123825</xdr:rowOff>
    </xdr:to>
    <xdr:grpSp>
      <xdr:nvGrpSpPr>
        <xdr:cNvPr id="8" name="Group 179"/>
        <xdr:cNvGrpSpPr>
          <a:grpSpLocks/>
        </xdr:cNvGrpSpPr>
      </xdr:nvGrpSpPr>
      <xdr:grpSpPr>
        <a:xfrm>
          <a:off x="409575" y="20421600"/>
          <a:ext cx="600075" cy="333375"/>
          <a:chOff x="-18871" y="-405104"/>
          <a:chExt cx="18921" cy="175"/>
        </a:xfrm>
        <a:solidFill>
          <a:srgbClr val="FFFFFF"/>
        </a:solidFill>
      </xdr:grpSpPr>
      <xdr:sp>
        <xdr:nvSpPr>
          <xdr:cNvPr id="9" name="Line 156"/>
          <xdr:cNvSpPr>
            <a:spLocks/>
          </xdr:cNvSpPr>
        </xdr:nvSpPr>
        <xdr:spPr>
          <a:xfrm flipH="1">
            <a:off x="-14420" y="-405104"/>
            <a:ext cx="1854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66"/>
          <xdr:cNvGrpSpPr>
            <a:grpSpLocks/>
          </xdr:cNvGrpSpPr>
        </xdr:nvGrpSpPr>
        <xdr:grpSpPr>
          <a:xfrm>
            <a:off x="-18871" y="-405104"/>
            <a:ext cx="18921" cy="175"/>
            <a:chOff x="580000" y="42880000"/>
            <a:chExt cx="1020000" cy="700000"/>
          </a:xfrm>
          <a:solidFill>
            <a:srgbClr val="FFFFFF"/>
          </a:solidFill>
        </xdr:grpSpPr>
        <xdr:sp>
          <xdr:nvSpPr>
            <xdr:cNvPr id="11" name="Arc 154"/>
            <xdr:cNvSpPr>
              <a:spLocks/>
            </xdr:cNvSpPr>
          </xdr:nvSpPr>
          <xdr:spPr>
            <a:xfrm>
              <a:off x="919915" y="42880000"/>
              <a:ext cx="680085" cy="700000"/>
            </a:xfrm>
            <a:prstGeom prst="arc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Texte 157"/>
            <xdr:cNvSpPr txBox="1">
              <a:spLocks noChangeArrowheads="1"/>
            </xdr:cNvSpPr>
          </xdr:nvSpPr>
          <xdr:spPr>
            <a:xfrm>
              <a:off x="580000" y="43080025"/>
              <a:ext cx="479910" cy="439950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M</a:t>
              </a:r>
            </a:p>
          </xdr:txBody>
        </xdr:sp>
      </xdr:grpSp>
    </xdr:grpSp>
    <xdr:clientData/>
  </xdr:twoCellAnchor>
  <xdr:twoCellAnchor>
    <xdr:from>
      <xdr:col>1</xdr:col>
      <xdr:colOff>161925</xdr:colOff>
      <xdr:row>108</xdr:row>
      <xdr:rowOff>104775</xdr:rowOff>
    </xdr:from>
    <xdr:to>
      <xdr:col>4</xdr:col>
      <xdr:colOff>9525</xdr:colOff>
      <xdr:row>109</xdr:row>
      <xdr:rowOff>66675</xdr:rowOff>
    </xdr:to>
    <xdr:grpSp>
      <xdr:nvGrpSpPr>
        <xdr:cNvPr id="13" name="Group 165"/>
        <xdr:cNvGrpSpPr>
          <a:grpSpLocks/>
        </xdr:cNvGrpSpPr>
      </xdr:nvGrpSpPr>
      <xdr:grpSpPr>
        <a:xfrm>
          <a:off x="923925" y="20231100"/>
          <a:ext cx="1638300" cy="142875"/>
          <a:chOff x="-8286" y="-15834535"/>
          <a:chExt cx="18980" cy="2850"/>
        </a:xfrm>
        <a:solidFill>
          <a:srgbClr val="FFFFFF"/>
        </a:solidFill>
      </xdr:grpSpPr>
      <xdr:sp>
        <xdr:nvSpPr>
          <xdr:cNvPr id="14" name="Line 158"/>
          <xdr:cNvSpPr>
            <a:spLocks/>
          </xdr:cNvSpPr>
        </xdr:nvSpPr>
        <xdr:spPr>
          <a:xfrm>
            <a:off x="-8286" y="-15834535"/>
            <a:ext cx="189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9"/>
          <xdr:cNvSpPr>
            <a:spLocks/>
          </xdr:cNvSpPr>
        </xdr:nvSpPr>
        <xdr:spPr>
          <a:xfrm>
            <a:off x="-7114" y="-15834535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0"/>
          <xdr:cNvSpPr>
            <a:spLocks/>
          </xdr:cNvSpPr>
        </xdr:nvSpPr>
        <xdr:spPr>
          <a:xfrm>
            <a:off x="7055" y="-15834535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61"/>
          <xdr:cNvSpPr>
            <a:spLocks/>
          </xdr:cNvSpPr>
        </xdr:nvSpPr>
        <xdr:spPr>
          <a:xfrm>
            <a:off x="4065" y="-15834535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62"/>
          <xdr:cNvSpPr>
            <a:spLocks/>
          </xdr:cNvSpPr>
        </xdr:nvSpPr>
        <xdr:spPr>
          <a:xfrm>
            <a:off x="1204" y="-15834535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63"/>
          <xdr:cNvSpPr>
            <a:spLocks/>
          </xdr:cNvSpPr>
        </xdr:nvSpPr>
        <xdr:spPr>
          <a:xfrm>
            <a:off x="-1524" y="-15834535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64"/>
          <xdr:cNvSpPr>
            <a:spLocks/>
          </xdr:cNvSpPr>
        </xdr:nvSpPr>
        <xdr:spPr>
          <a:xfrm>
            <a:off x="-4257" y="-15834535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285750</xdr:colOff>
      <xdr:row>107</xdr:row>
      <xdr:rowOff>0</xdr:rowOff>
    </xdr:from>
    <xdr:to>
      <xdr:col>2</xdr:col>
      <xdr:colOff>495300</xdr:colOff>
      <xdr:row>114</xdr:row>
      <xdr:rowOff>66675</xdr:rowOff>
    </xdr:to>
    <xdr:grpSp>
      <xdr:nvGrpSpPr>
        <xdr:cNvPr id="21" name="Group 174"/>
        <xdr:cNvGrpSpPr>
          <a:grpSpLocks/>
        </xdr:cNvGrpSpPr>
      </xdr:nvGrpSpPr>
      <xdr:grpSpPr>
        <a:xfrm>
          <a:off x="285750" y="19964400"/>
          <a:ext cx="1485900" cy="1219200"/>
          <a:chOff x="-11115" y="-132019"/>
          <a:chExt cx="25900" cy="128"/>
        </a:xfrm>
        <a:solidFill>
          <a:srgbClr val="FFFFFF"/>
        </a:solidFill>
      </xdr:grpSpPr>
      <xdr:grpSp>
        <xdr:nvGrpSpPr>
          <xdr:cNvPr id="22" name="Group 173"/>
          <xdr:cNvGrpSpPr>
            <a:grpSpLocks/>
          </xdr:cNvGrpSpPr>
        </xdr:nvGrpSpPr>
        <xdr:grpSpPr>
          <a:xfrm>
            <a:off x="-11115" y="-131917"/>
            <a:ext cx="6475" cy="26"/>
            <a:chOff x="400000" y="43960000"/>
            <a:chExt cx="700000" cy="520000"/>
          </a:xfrm>
          <a:solidFill>
            <a:srgbClr val="FFFFFF"/>
          </a:solidFill>
        </xdr:grpSpPr>
        <xdr:sp>
          <xdr:nvSpPr>
            <xdr:cNvPr id="23" name="Line 170"/>
            <xdr:cNvSpPr>
              <a:spLocks/>
            </xdr:cNvSpPr>
          </xdr:nvSpPr>
          <xdr:spPr>
            <a:xfrm flipH="1">
              <a:off x="400000" y="43960000"/>
              <a:ext cx="700000" cy="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e 171"/>
            <xdr:cNvSpPr txBox="1">
              <a:spLocks noChangeArrowheads="1"/>
            </xdr:cNvSpPr>
          </xdr:nvSpPr>
          <xdr:spPr>
            <a:xfrm>
              <a:off x="619975" y="44020060"/>
              <a:ext cx="439950" cy="459940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R</a:t>
              </a:r>
            </a:p>
          </xdr:txBody>
        </xdr:sp>
      </xdr:grpSp>
      <xdr:sp>
        <xdr:nvSpPr>
          <xdr:cNvPr id="25" name="Texte 172"/>
          <xdr:cNvSpPr txBox="1">
            <a:spLocks noChangeArrowheads="1"/>
          </xdr:cNvSpPr>
        </xdr:nvSpPr>
        <xdr:spPr>
          <a:xfrm>
            <a:off x="11638" y="-132019"/>
            <a:ext cx="3147" cy="2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</xdr:col>
      <xdr:colOff>85725</xdr:colOff>
      <xdr:row>112</xdr:row>
      <xdr:rowOff>114300</xdr:rowOff>
    </xdr:from>
    <xdr:to>
      <xdr:col>3</xdr:col>
      <xdr:colOff>57150</xdr:colOff>
      <xdr:row>113</xdr:row>
      <xdr:rowOff>19050</xdr:rowOff>
    </xdr:to>
    <xdr:grpSp>
      <xdr:nvGrpSpPr>
        <xdr:cNvPr id="26" name="Group 178"/>
        <xdr:cNvGrpSpPr>
          <a:grpSpLocks/>
        </xdr:cNvGrpSpPr>
      </xdr:nvGrpSpPr>
      <xdr:grpSpPr>
        <a:xfrm>
          <a:off x="847725" y="20907375"/>
          <a:ext cx="1000125" cy="66675"/>
          <a:chOff x="-10976" y="-943999"/>
          <a:chExt cx="15759" cy="70"/>
        </a:xfrm>
        <a:solidFill>
          <a:srgbClr val="FFFFFF"/>
        </a:solidFill>
      </xdr:grpSpPr>
      <xdr:sp>
        <xdr:nvSpPr>
          <xdr:cNvPr id="27" name="Line 176"/>
          <xdr:cNvSpPr>
            <a:spLocks/>
          </xdr:cNvSpPr>
        </xdr:nvSpPr>
        <xdr:spPr>
          <a:xfrm>
            <a:off x="-10976" y="-943999"/>
            <a:ext cx="15759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77"/>
          <xdr:cNvSpPr>
            <a:spLocks/>
          </xdr:cNvSpPr>
        </xdr:nvSpPr>
        <xdr:spPr>
          <a:xfrm>
            <a:off x="-10976" y="-943999"/>
            <a:ext cx="0" cy="7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111</xdr:row>
      <xdr:rowOff>133350</xdr:rowOff>
    </xdr:from>
    <xdr:to>
      <xdr:col>2</xdr:col>
      <xdr:colOff>161925</xdr:colOff>
      <xdr:row>112</xdr:row>
      <xdr:rowOff>114300</xdr:rowOff>
    </xdr:to>
    <xdr:sp>
      <xdr:nvSpPr>
        <xdr:cNvPr id="29" name="Line 181"/>
        <xdr:cNvSpPr>
          <a:spLocks/>
        </xdr:cNvSpPr>
      </xdr:nvSpPr>
      <xdr:spPr>
        <a:xfrm>
          <a:off x="1438275" y="207645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110</xdr:row>
      <xdr:rowOff>133350</xdr:rowOff>
    </xdr:from>
    <xdr:to>
      <xdr:col>2</xdr:col>
      <xdr:colOff>228600</xdr:colOff>
      <xdr:row>111</xdr:row>
      <xdr:rowOff>123825</xdr:rowOff>
    </xdr:to>
    <xdr:sp>
      <xdr:nvSpPr>
        <xdr:cNvPr id="30" name="Texte 182"/>
        <xdr:cNvSpPr txBox="1">
          <a:spLocks noChangeArrowheads="1"/>
        </xdr:cNvSpPr>
      </xdr:nvSpPr>
      <xdr:spPr>
        <a:xfrm>
          <a:off x="1371600" y="206025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47625</xdr:colOff>
      <xdr:row>113</xdr:row>
      <xdr:rowOff>85725</xdr:rowOff>
    </xdr:from>
    <xdr:to>
      <xdr:col>1</xdr:col>
      <xdr:colOff>47625</xdr:colOff>
      <xdr:row>115</xdr:row>
      <xdr:rowOff>47625</xdr:rowOff>
    </xdr:to>
    <xdr:sp>
      <xdr:nvSpPr>
        <xdr:cNvPr id="31" name="Line 184"/>
        <xdr:cNvSpPr>
          <a:spLocks/>
        </xdr:cNvSpPr>
      </xdr:nvSpPr>
      <xdr:spPr>
        <a:xfrm>
          <a:off x="809625" y="2104072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113</xdr:row>
      <xdr:rowOff>85725</xdr:rowOff>
    </xdr:from>
    <xdr:to>
      <xdr:col>2</xdr:col>
      <xdr:colOff>333375</xdr:colOff>
      <xdr:row>115</xdr:row>
      <xdr:rowOff>47625</xdr:rowOff>
    </xdr:to>
    <xdr:sp>
      <xdr:nvSpPr>
        <xdr:cNvPr id="32" name="Line 185"/>
        <xdr:cNvSpPr>
          <a:spLocks/>
        </xdr:cNvSpPr>
      </xdr:nvSpPr>
      <xdr:spPr>
        <a:xfrm>
          <a:off x="1609725" y="2104072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114</xdr:row>
      <xdr:rowOff>85725</xdr:rowOff>
    </xdr:from>
    <xdr:to>
      <xdr:col>2</xdr:col>
      <xdr:colOff>333375</xdr:colOff>
      <xdr:row>114</xdr:row>
      <xdr:rowOff>85725</xdr:rowOff>
    </xdr:to>
    <xdr:sp>
      <xdr:nvSpPr>
        <xdr:cNvPr id="33" name="Line 186"/>
        <xdr:cNvSpPr>
          <a:spLocks/>
        </xdr:cNvSpPr>
      </xdr:nvSpPr>
      <xdr:spPr>
        <a:xfrm>
          <a:off x="819150" y="2120265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113</xdr:row>
      <xdr:rowOff>76200</xdr:rowOff>
    </xdr:from>
    <xdr:to>
      <xdr:col>2</xdr:col>
      <xdr:colOff>66675</xdr:colOff>
      <xdr:row>114</xdr:row>
      <xdr:rowOff>66675</xdr:rowOff>
    </xdr:to>
    <xdr:sp>
      <xdr:nvSpPr>
        <xdr:cNvPr id="34" name="Texte 187"/>
        <xdr:cNvSpPr txBox="1">
          <a:spLocks noChangeArrowheads="1"/>
        </xdr:cNvSpPr>
      </xdr:nvSpPr>
      <xdr:spPr>
        <a:xfrm>
          <a:off x="1095375" y="21031200"/>
          <a:ext cx="247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2</xdr:col>
      <xdr:colOff>314325</xdr:colOff>
      <xdr:row>113</xdr:row>
      <xdr:rowOff>19050</xdr:rowOff>
    </xdr:from>
    <xdr:to>
      <xdr:col>2</xdr:col>
      <xdr:colOff>352425</xdr:colOff>
      <xdr:row>113</xdr:row>
      <xdr:rowOff>57150</xdr:rowOff>
    </xdr:to>
    <xdr:sp>
      <xdr:nvSpPr>
        <xdr:cNvPr id="35" name="Oval 188"/>
        <xdr:cNvSpPr>
          <a:spLocks/>
        </xdr:cNvSpPr>
      </xdr:nvSpPr>
      <xdr:spPr>
        <a:xfrm>
          <a:off x="1590675" y="20974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110</xdr:row>
      <xdr:rowOff>38100</xdr:rowOff>
    </xdr:from>
    <xdr:to>
      <xdr:col>4</xdr:col>
      <xdr:colOff>238125</xdr:colOff>
      <xdr:row>111</xdr:row>
      <xdr:rowOff>95250</xdr:rowOff>
    </xdr:to>
    <xdr:sp>
      <xdr:nvSpPr>
        <xdr:cNvPr id="36" name="Texte 189"/>
        <xdr:cNvSpPr txBox="1">
          <a:spLocks noChangeArrowheads="1"/>
        </xdr:cNvSpPr>
      </xdr:nvSpPr>
      <xdr:spPr>
        <a:xfrm>
          <a:off x="1743075" y="20507325"/>
          <a:ext cx="1047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point de moment nul
dans le radier</a:t>
          </a:r>
        </a:p>
      </xdr:txBody>
    </xdr:sp>
    <xdr:clientData/>
  </xdr:twoCellAnchor>
  <xdr:twoCellAnchor>
    <xdr:from>
      <xdr:col>2</xdr:col>
      <xdr:colOff>333375</xdr:colOff>
      <xdr:row>111</xdr:row>
      <xdr:rowOff>95250</xdr:rowOff>
    </xdr:from>
    <xdr:to>
      <xdr:col>2</xdr:col>
      <xdr:colOff>466725</xdr:colOff>
      <xdr:row>113</xdr:row>
      <xdr:rowOff>28575</xdr:rowOff>
    </xdr:to>
    <xdr:sp>
      <xdr:nvSpPr>
        <xdr:cNvPr id="37" name="Line 190"/>
        <xdr:cNvSpPr>
          <a:spLocks/>
        </xdr:cNvSpPr>
      </xdr:nvSpPr>
      <xdr:spPr>
        <a:xfrm flipH="1">
          <a:off x="1609725" y="20726400"/>
          <a:ext cx="13335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57150</xdr:rowOff>
    </xdr:from>
    <xdr:to>
      <xdr:col>9</xdr:col>
      <xdr:colOff>533400</xdr:colOff>
      <xdr:row>20</xdr:row>
      <xdr:rowOff>66675</xdr:rowOff>
    </xdr:to>
    <xdr:grpSp>
      <xdr:nvGrpSpPr>
        <xdr:cNvPr id="38" name="Group 404"/>
        <xdr:cNvGrpSpPr>
          <a:grpSpLocks/>
        </xdr:cNvGrpSpPr>
      </xdr:nvGrpSpPr>
      <xdr:grpSpPr>
        <a:xfrm>
          <a:off x="3095625" y="2057400"/>
          <a:ext cx="3552825" cy="1485900"/>
          <a:chOff x="-4658" y="-10095"/>
          <a:chExt cx="14112" cy="156"/>
        </a:xfrm>
        <a:solidFill>
          <a:srgbClr val="FFFFFF"/>
        </a:solidFill>
      </xdr:grpSpPr>
      <xdr:grpSp>
        <xdr:nvGrpSpPr>
          <xdr:cNvPr id="39" name="Group 278"/>
          <xdr:cNvGrpSpPr>
            <a:grpSpLocks/>
          </xdr:cNvGrpSpPr>
        </xdr:nvGrpSpPr>
        <xdr:grpSpPr>
          <a:xfrm>
            <a:off x="-2418" y="-9981"/>
            <a:ext cx="2519" cy="13"/>
            <a:chOff x="6240000" y="6600000"/>
            <a:chExt cx="900000" cy="260000"/>
          </a:xfrm>
          <a:solidFill>
            <a:srgbClr val="FFFFFF"/>
          </a:solidFill>
        </xdr:grpSpPr>
        <xdr:sp>
          <xdr:nvSpPr>
            <xdr:cNvPr id="40" name="Texte 279"/>
            <xdr:cNvSpPr txBox="1">
              <a:spLocks noChangeArrowheads="1"/>
            </xdr:cNvSpPr>
          </xdr:nvSpPr>
          <xdr:spPr>
            <a:xfrm>
              <a:off x="6240000" y="6600000"/>
              <a:ext cx="220050" cy="260000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500" b="1" i="0" u="none" baseline="0">
                  <a:latin typeface="Arial"/>
                  <a:ea typeface="Arial"/>
                  <a:cs typeface="Arial"/>
                </a:rPr>
                <a:t>24</a:t>
              </a:r>
            </a:p>
          </xdr:txBody>
        </xdr:sp>
        <xdr:sp>
          <xdr:nvSpPr>
            <xdr:cNvPr id="41" name="Texte 280"/>
            <xdr:cNvSpPr txBox="1">
              <a:spLocks noChangeArrowheads="1"/>
            </xdr:cNvSpPr>
          </xdr:nvSpPr>
          <xdr:spPr>
            <a:xfrm>
              <a:off x="6919950" y="6600000"/>
              <a:ext cx="220050" cy="22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500" b="1" i="0" u="none" baseline="0">
                  <a:latin typeface="Arial"/>
                  <a:ea typeface="Arial"/>
                  <a:cs typeface="Arial"/>
                </a:rPr>
                <a:t>27</a:t>
              </a:r>
            </a:p>
          </xdr:txBody>
        </xdr:sp>
        <xdr:sp>
          <xdr:nvSpPr>
            <xdr:cNvPr id="42" name="Texte 281"/>
            <xdr:cNvSpPr txBox="1">
              <a:spLocks noChangeArrowheads="1"/>
            </xdr:cNvSpPr>
          </xdr:nvSpPr>
          <xdr:spPr>
            <a:xfrm>
              <a:off x="6699900" y="6600000"/>
              <a:ext cx="240075" cy="22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500" b="1" i="0" u="none" baseline="0">
                  <a:latin typeface="Arial"/>
                  <a:ea typeface="Arial"/>
                  <a:cs typeface="Arial"/>
                </a:rPr>
                <a:t>26</a:t>
              </a:r>
            </a:p>
          </xdr:txBody>
        </xdr:sp>
        <xdr:sp>
          <xdr:nvSpPr>
            <xdr:cNvPr id="43" name="Texte 282"/>
            <xdr:cNvSpPr txBox="1">
              <a:spLocks noChangeArrowheads="1"/>
            </xdr:cNvSpPr>
          </xdr:nvSpPr>
          <xdr:spPr>
            <a:xfrm>
              <a:off x="6460050" y="6600000"/>
              <a:ext cx="240075" cy="22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500" b="1" i="0" u="none" baseline="0">
                  <a:latin typeface="Arial"/>
                  <a:ea typeface="Arial"/>
                  <a:cs typeface="Arial"/>
                </a:rPr>
                <a:t>25</a:t>
              </a:r>
            </a:p>
          </xdr:txBody>
        </xdr:sp>
      </xdr:grpSp>
      <xdr:grpSp>
        <xdr:nvGrpSpPr>
          <xdr:cNvPr id="44" name="Group 130"/>
          <xdr:cNvGrpSpPr>
            <a:grpSpLocks/>
          </xdr:cNvGrpSpPr>
        </xdr:nvGrpSpPr>
        <xdr:grpSpPr>
          <a:xfrm>
            <a:off x="-4658" y="-10095"/>
            <a:ext cx="14112" cy="156"/>
            <a:chOff x="5440000" y="4320000"/>
            <a:chExt cx="5040000" cy="3120000"/>
          </a:xfrm>
          <a:solidFill>
            <a:srgbClr val="FFFFFF"/>
          </a:solidFill>
        </xdr:grpSpPr>
        <xdr:grpSp>
          <xdr:nvGrpSpPr>
            <xdr:cNvPr id="45" name="Group 129"/>
            <xdr:cNvGrpSpPr>
              <a:grpSpLocks/>
            </xdr:cNvGrpSpPr>
          </xdr:nvGrpSpPr>
          <xdr:grpSpPr>
            <a:xfrm>
              <a:off x="5440000" y="4320000"/>
              <a:ext cx="5040000" cy="3120000"/>
              <a:chOff x="5440000" y="4320000"/>
              <a:chExt cx="5040000" cy="3120000"/>
            </a:xfrm>
            <a:solidFill>
              <a:srgbClr val="FFFFFF"/>
            </a:solidFill>
          </xdr:grpSpPr>
          <xdr:grpSp>
            <xdr:nvGrpSpPr>
              <xdr:cNvPr id="46" name="Group 128"/>
              <xdr:cNvGrpSpPr>
                <a:grpSpLocks/>
              </xdr:cNvGrpSpPr>
            </xdr:nvGrpSpPr>
            <xdr:grpSpPr>
              <a:xfrm>
                <a:off x="5920060" y="5699820"/>
                <a:ext cx="3399480" cy="1740180"/>
                <a:chOff x="5920000" y="5700000"/>
                <a:chExt cx="3400000" cy="1740000"/>
              </a:xfrm>
              <a:solidFill>
                <a:srgbClr val="FFFFFF"/>
              </a:solidFill>
            </xdr:grpSpPr>
            <xdr:sp>
              <xdr:nvSpPr>
                <xdr:cNvPr id="47" name="Rectangle 16"/>
                <xdr:cNvSpPr>
                  <a:spLocks/>
                </xdr:cNvSpPr>
              </xdr:nvSpPr>
              <xdr:spPr>
                <a:xfrm>
                  <a:off x="5920000" y="6940185"/>
                  <a:ext cx="60350" cy="200100"/>
                </a:xfrm>
                <a:prstGeom prst="rect">
                  <a:avLst/>
                </a:prstGeom>
                <a:pattFill prst="dkHorz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8" name="Rectangle 17"/>
                <xdr:cNvSpPr>
                  <a:spLocks/>
                </xdr:cNvSpPr>
              </xdr:nvSpPr>
              <xdr:spPr>
                <a:xfrm>
                  <a:off x="8339950" y="6960195"/>
                  <a:ext cx="60350" cy="200100"/>
                </a:xfrm>
                <a:prstGeom prst="rect">
                  <a:avLst/>
                </a:prstGeom>
                <a:pattFill prst="dkHorz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9" name="Rectangle 18"/>
                <xdr:cNvSpPr>
                  <a:spLocks/>
                </xdr:cNvSpPr>
              </xdr:nvSpPr>
              <xdr:spPr>
                <a:xfrm>
                  <a:off x="8660400" y="6840135"/>
                  <a:ext cx="199750" cy="60030"/>
                </a:xfrm>
                <a:prstGeom prst="rect">
                  <a:avLst/>
                </a:prstGeom>
                <a:pattFill prst="dk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0" name="Dessin 14"/>
                <xdr:cNvSpPr>
                  <a:spLocks/>
                </xdr:cNvSpPr>
              </xdr:nvSpPr>
              <xdr:spPr>
                <a:xfrm>
                  <a:off x="8740300" y="5700000"/>
                  <a:ext cx="579700" cy="1140135"/>
                </a:xfrm>
                <a:custGeom>
                  <a:pathLst>
                    <a:path h="16384" w="16384">
                      <a:moveTo>
                        <a:pt x="578" y="0"/>
                      </a:moveTo>
                      <a:lnTo>
                        <a:pt x="386" y="0"/>
                      </a:lnTo>
                      <a:lnTo>
                        <a:pt x="0" y="16384"/>
                      </a:lnTo>
                      <a:lnTo>
                        <a:pt x="16384" y="16384"/>
                      </a:lnTo>
                      <a:lnTo>
                        <a:pt x="578" y="0"/>
                      </a:lnTo>
                      <a:close/>
                    </a:path>
                  </a:pathLst>
                </a:cu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1" name="Rectangle 15"/>
                <xdr:cNvSpPr>
                  <a:spLocks/>
                </xdr:cNvSpPr>
              </xdr:nvSpPr>
              <xdr:spPr>
                <a:xfrm>
                  <a:off x="5980350" y="7039800"/>
                  <a:ext cx="2359600" cy="400200"/>
                </a:xfrm>
                <a:prstGeom prst="rect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52" name="Group 123"/>
              <xdr:cNvGrpSpPr>
                <a:grpSpLocks/>
              </xdr:cNvGrpSpPr>
            </xdr:nvGrpSpPr>
            <xdr:grpSpPr>
              <a:xfrm>
                <a:off x="5440000" y="4320000"/>
                <a:ext cx="5040000" cy="2520180"/>
                <a:chOff x="5440000" y="4320000"/>
                <a:chExt cx="5040000" cy="2520000"/>
              </a:xfrm>
              <a:solidFill>
                <a:srgbClr val="FFFFFF"/>
              </a:solidFill>
            </xdr:grpSpPr>
            <xdr:sp>
              <xdr:nvSpPr>
                <xdr:cNvPr id="53" name="Texte 11"/>
                <xdr:cNvSpPr txBox="1">
                  <a:spLocks noChangeArrowheads="1"/>
                </xdr:cNvSpPr>
              </xdr:nvSpPr>
              <xdr:spPr>
                <a:xfrm>
                  <a:off x="5440000" y="5900040"/>
                  <a:ext cx="419580" cy="3402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0" i="0" u="none" baseline="0">
                      <a:latin typeface="Arial"/>
                      <a:ea typeface="Arial"/>
                      <a:cs typeface="Arial"/>
                    </a:rPr>
                    <a:t>b</a:t>
                  </a:r>
                </a:p>
              </xdr:txBody>
            </xdr:sp>
            <xdr:sp>
              <xdr:nvSpPr>
                <xdr:cNvPr id="54" name="Texte 12"/>
                <xdr:cNvSpPr txBox="1">
                  <a:spLocks noChangeArrowheads="1"/>
                </xdr:cNvSpPr>
              </xdr:nvSpPr>
              <xdr:spPr>
                <a:xfrm>
                  <a:off x="6979720" y="4640040"/>
                  <a:ext cx="299880" cy="3402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0" i="0" u="none" baseline="0">
                      <a:latin typeface="Arial"/>
                      <a:ea typeface="Arial"/>
                      <a:cs typeface="Arial"/>
                    </a:rPr>
                    <a:t>a</a:t>
                  </a:r>
                </a:p>
              </xdr:txBody>
            </xdr:sp>
            <xdr:grpSp>
              <xdr:nvGrpSpPr>
                <xdr:cNvPr id="55" name="Group 121"/>
                <xdr:cNvGrpSpPr>
                  <a:grpSpLocks/>
                </xdr:cNvGrpSpPr>
              </xdr:nvGrpSpPr>
              <xdr:grpSpPr>
                <a:xfrm>
                  <a:off x="5999440" y="4320000"/>
                  <a:ext cx="4460400" cy="2520000"/>
                  <a:chOff x="6000000" y="4320000"/>
                  <a:chExt cx="4460000" cy="2520000"/>
                </a:xfrm>
                <a:solidFill>
                  <a:srgbClr val="FFFFFF"/>
                </a:solidFill>
              </xdr:grpSpPr>
              <xdr:sp>
                <xdr:nvSpPr>
                  <xdr:cNvPr id="56" name="Line 5"/>
                  <xdr:cNvSpPr>
                    <a:spLocks/>
                  </xdr:cNvSpPr>
                </xdr:nvSpPr>
                <xdr:spPr>
                  <a:xfrm flipV="1">
                    <a:off x="6000000" y="4560030"/>
                    <a:ext cx="0" cy="43974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7" name="Texte 6"/>
                  <xdr:cNvSpPr txBox="1">
                    <a:spLocks noChangeArrowheads="1"/>
                  </xdr:cNvSpPr>
                </xdr:nvSpPr>
                <xdr:spPr>
                  <a:xfrm>
                    <a:off x="9860130" y="6460110"/>
                    <a:ext cx="420355" cy="26019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X</a:t>
                    </a:r>
                  </a:p>
                </xdr:txBody>
              </xdr:sp>
              <xdr:sp>
                <xdr:nvSpPr>
                  <xdr:cNvPr id="58" name="Texte 7"/>
                  <xdr:cNvSpPr txBox="1">
                    <a:spLocks noChangeArrowheads="1"/>
                  </xdr:cNvSpPr>
                </xdr:nvSpPr>
                <xdr:spPr>
                  <a:xfrm>
                    <a:off x="6140490" y="4320000"/>
                    <a:ext cx="320005" cy="34020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</a:t>
                    </a:r>
                  </a:p>
                </xdr:txBody>
              </xdr:sp>
              <xdr:sp>
                <xdr:nvSpPr>
                  <xdr:cNvPr id="59" name="Line 111"/>
                  <xdr:cNvSpPr>
                    <a:spLocks/>
                  </xdr:cNvSpPr>
                </xdr:nvSpPr>
                <xdr:spPr>
                  <a:xfrm>
                    <a:off x="9419705" y="6840000"/>
                    <a:ext cx="1040295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60" name="Group 122"/>
                <xdr:cNvGrpSpPr>
                  <a:grpSpLocks/>
                </xdr:cNvGrpSpPr>
              </xdr:nvGrpSpPr>
              <xdr:grpSpPr>
                <a:xfrm>
                  <a:off x="8739940" y="5220270"/>
                  <a:ext cx="1740060" cy="1619730"/>
                  <a:chOff x="8740000" y="5220000"/>
                  <a:chExt cx="1740000" cy="1620000"/>
                </a:xfrm>
                <a:solidFill>
                  <a:srgbClr val="FFFFFF"/>
                </a:solidFill>
              </xdr:grpSpPr>
              <xdr:sp>
                <xdr:nvSpPr>
                  <xdr:cNvPr id="61" name="Line 115"/>
                  <xdr:cNvSpPr>
                    <a:spLocks/>
                  </xdr:cNvSpPr>
                </xdr:nvSpPr>
                <xdr:spPr>
                  <a:xfrm>
                    <a:off x="8740000" y="5220000"/>
                    <a:ext cx="980055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" name="Line 116"/>
                  <xdr:cNvSpPr>
                    <a:spLocks/>
                  </xdr:cNvSpPr>
                </xdr:nvSpPr>
                <xdr:spPr>
                  <a:xfrm>
                    <a:off x="8740000" y="5680080"/>
                    <a:ext cx="980055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3" name="Line 117"/>
                  <xdr:cNvSpPr>
                    <a:spLocks/>
                  </xdr:cNvSpPr>
                </xdr:nvSpPr>
                <xdr:spPr>
                  <a:xfrm>
                    <a:off x="9459925" y="5220000"/>
                    <a:ext cx="0" cy="46008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arrow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4" name="Line 118"/>
                  <xdr:cNvSpPr>
                    <a:spLocks/>
                  </xdr:cNvSpPr>
                </xdr:nvSpPr>
                <xdr:spPr>
                  <a:xfrm>
                    <a:off x="9459925" y="5699925"/>
                    <a:ext cx="0" cy="114007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arrow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5" name="Texte 119"/>
                  <xdr:cNvSpPr txBox="1">
                    <a:spLocks noChangeArrowheads="1"/>
                  </xdr:cNvSpPr>
                </xdr:nvSpPr>
                <xdr:spPr>
                  <a:xfrm>
                    <a:off x="9800095" y="5260095"/>
                    <a:ext cx="519825" cy="34020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b/3</a:t>
                    </a:r>
                  </a:p>
                </xdr:txBody>
              </xdr:sp>
              <xdr:sp>
                <xdr:nvSpPr>
                  <xdr:cNvPr id="66" name="Texte 120"/>
                  <xdr:cNvSpPr txBox="1">
                    <a:spLocks noChangeArrowheads="1"/>
                  </xdr:cNvSpPr>
                </xdr:nvSpPr>
                <xdr:spPr>
                  <a:xfrm>
                    <a:off x="9800095" y="5980185"/>
                    <a:ext cx="679905" cy="34020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2b/3</a:t>
                    </a:r>
                  </a:p>
                </xdr:txBody>
              </xdr:sp>
            </xdr:grpSp>
          </xdr:grpSp>
          <xdr:grpSp>
            <xdr:nvGrpSpPr>
              <xdr:cNvPr id="67" name="Group 127"/>
              <xdr:cNvGrpSpPr>
                <a:grpSpLocks/>
              </xdr:cNvGrpSpPr>
            </xdr:nvGrpSpPr>
            <xdr:grpSpPr>
              <a:xfrm>
                <a:off x="5699560" y="5019660"/>
                <a:ext cx="1719900" cy="1900080"/>
                <a:chOff x="5700000" y="5020000"/>
                <a:chExt cx="1720000" cy="1900000"/>
              </a:xfrm>
              <a:solidFill>
                <a:srgbClr val="FFFFFF"/>
              </a:solidFill>
            </xdr:grpSpPr>
            <xdr:grpSp>
              <xdr:nvGrpSpPr>
                <xdr:cNvPr id="68" name="Group 113"/>
                <xdr:cNvGrpSpPr>
                  <a:grpSpLocks/>
                </xdr:cNvGrpSpPr>
              </xdr:nvGrpSpPr>
              <xdr:grpSpPr>
                <a:xfrm>
                  <a:off x="7159850" y="5020000"/>
                  <a:ext cx="260150" cy="1840150"/>
                  <a:chOff x="7160000" y="5020000"/>
                  <a:chExt cx="260000" cy="1840000"/>
                </a:xfrm>
                <a:solidFill>
                  <a:srgbClr val="FFFFFF"/>
                </a:solidFill>
              </xdr:grpSpPr>
              <xdr:sp>
                <xdr:nvSpPr>
                  <xdr:cNvPr id="69" name="Texte 105"/>
                  <xdr:cNvSpPr txBox="1">
                    <a:spLocks noChangeArrowheads="1"/>
                  </xdr:cNvSpPr>
                </xdr:nvSpPr>
                <xdr:spPr>
                  <a:xfrm>
                    <a:off x="7180020" y="5020000"/>
                    <a:ext cx="220025" cy="24012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6</a:t>
                    </a:r>
                  </a:p>
                </xdr:txBody>
              </xdr:sp>
              <xdr:sp>
                <xdr:nvSpPr>
                  <xdr:cNvPr id="70" name="Texte 106"/>
                  <xdr:cNvSpPr txBox="1">
                    <a:spLocks noChangeArrowheads="1"/>
                  </xdr:cNvSpPr>
                </xdr:nvSpPr>
                <xdr:spPr>
                  <a:xfrm>
                    <a:off x="7180020" y="5659860"/>
                    <a:ext cx="239980" cy="24012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14</a:t>
                    </a:r>
                  </a:p>
                </xdr:txBody>
              </xdr:sp>
              <xdr:sp>
                <xdr:nvSpPr>
                  <xdr:cNvPr id="71" name="Texte 107"/>
                  <xdr:cNvSpPr txBox="1">
                    <a:spLocks noChangeArrowheads="1"/>
                  </xdr:cNvSpPr>
                </xdr:nvSpPr>
                <xdr:spPr>
                  <a:xfrm>
                    <a:off x="7180020" y="6600100"/>
                    <a:ext cx="239980" cy="25990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28</a:t>
                    </a:r>
                  </a:p>
                </xdr:txBody>
              </xdr:sp>
              <xdr:sp>
                <xdr:nvSpPr>
                  <xdr:cNvPr id="72" name="Texte 108"/>
                  <xdr:cNvSpPr txBox="1">
                    <a:spLocks noChangeArrowheads="1"/>
                  </xdr:cNvSpPr>
                </xdr:nvSpPr>
                <xdr:spPr>
                  <a:xfrm>
                    <a:off x="7160000" y="6279940"/>
                    <a:ext cx="260000" cy="24012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22</a:t>
                    </a:r>
                  </a:p>
                </xdr:txBody>
              </xdr:sp>
              <xdr:sp>
                <xdr:nvSpPr>
                  <xdr:cNvPr id="73" name="Texte 109"/>
                  <xdr:cNvSpPr txBox="1">
                    <a:spLocks noChangeArrowheads="1"/>
                  </xdr:cNvSpPr>
                </xdr:nvSpPr>
                <xdr:spPr>
                  <a:xfrm>
                    <a:off x="7160000" y="5980020"/>
                    <a:ext cx="260000" cy="24012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18</a:t>
                    </a:r>
                  </a:p>
                </xdr:txBody>
              </xdr:sp>
              <xdr:sp>
                <xdr:nvSpPr>
                  <xdr:cNvPr id="74" name="Texte 110"/>
                  <xdr:cNvSpPr txBox="1">
                    <a:spLocks noChangeArrowheads="1"/>
                  </xdr:cNvSpPr>
                </xdr:nvSpPr>
                <xdr:spPr>
                  <a:xfrm>
                    <a:off x="7160000" y="5340160"/>
                    <a:ext cx="260000" cy="24012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xdr:txBody>
              </xdr:sp>
            </xdr:grpSp>
            <xdr:grpSp>
              <xdr:nvGrpSpPr>
                <xdr:cNvPr id="75" name="Group 126"/>
                <xdr:cNvGrpSpPr>
                  <a:grpSpLocks/>
                </xdr:cNvGrpSpPr>
              </xdr:nvGrpSpPr>
              <xdr:grpSpPr>
                <a:xfrm>
                  <a:off x="5700000" y="5140175"/>
                  <a:ext cx="300140" cy="1779825"/>
                  <a:chOff x="5700000" y="5140000"/>
                  <a:chExt cx="300000" cy="1780000"/>
                </a:xfrm>
                <a:solidFill>
                  <a:srgbClr val="FFFFFF"/>
                </a:solidFill>
              </xdr:grpSpPr>
              <xdr:sp>
                <xdr:nvSpPr>
                  <xdr:cNvPr id="76" name="Texte 96"/>
                  <xdr:cNvSpPr txBox="1">
                    <a:spLocks noChangeArrowheads="1"/>
                  </xdr:cNvSpPr>
                </xdr:nvSpPr>
                <xdr:spPr>
                  <a:xfrm>
                    <a:off x="5760000" y="5140000"/>
                    <a:ext cx="240000" cy="199805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xdr:txBody>
              </xdr:sp>
              <xdr:sp>
                <xdr:nvSpPr>
                  <xdr:cNvPr id="77" name="Texte 97"/>
                  <xdr:cNvSpPr txBox="1">
                    <a:spLocks noChangeArrowheads="1"/>
                  </xdr:cNvSpPr>
                </xdr:nvSpPr>
                <xdr:spPr>
                  <a:xfrm>
                    <a:off x="5720025" y="5759885"/>
                    <a:ext cx="279975" cy="199805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xdr:txBody>
              </xdr:sp>
              <xdr:sp>
                <xdr:nvSpPr>
                  <xdr:cNvPr id="78" name="Texte 99"/>
                  <xdr:cNvSpPr txBox="1">
                    <a:spLocks noChangeArrowheads="1"/>
                  </xdr:cNvSpPr>
                </xdr:nvSpPr>
                <xdr:spPr>
                  <a:xfrm>
                    <a:off x="5720025" y="6700170"/>
                    <a:ext cx="279975" cy="21983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23</a:t>
                    </a:r>
                  </a:p>
                </xdr:txBody>
              </xdr:sp>
              <xdr:sp>
                <xdr:nvSpPr>
                  <xdr:cNvPr id="79" name="Texte 100"/>
                  <xdr:cNvSpPr txBox="1">
                    <a:spLocks noChangeArrowheads="1"/>
                  </xdr:cNvSpPr>
                </xdr:nvSpPr>
                <xdr:spPr>
                  <a:xfrm>
                    <a:off x="5700000" y="6399795"/>
                    <a:ext cx="300000" cy="199805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19</a:t>
                    </a:r>
                  </a:p>
                </xdr:txBody>
              </xdr:sp>
              <xdr:sp>
                <xdr:nvSpPr>
                  <xdr:cNvPr id="80" name="Texte 102"/>
                  <xdr:cNvSpPr txBox="1">
                    <a:spLocks noChangeArrowheads="1"/>
                  </xdr:cNvSpPr>
                </xdr:nvSpPr>
                <xdr:spPr>
                  <a:xfrm>
                    <a:off x="5780025" y="5459955"/>
                    <a:ext cx="219975" cy="199805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7</a:t>
                    </a:r>
                  </a:p>
                </xdr:txBody>
              </xdr:sp>
              <xdr:sp>
                <xdr:nvSpPr>
                  <xdr:cNvPr id="81" name="Texte 125"/>
                  <xdr:cNvSpPr txBox="1">
                    <a:spLocks noChangeArrowheads="1"/>
                  </xdr:cNvSpPr>
                </xdr:nvSpPr>
                <xdr:spPr>
                  <a:xfrm>
                    <a:off x="5700000" y="6079840"/>
                    <a:ext cx="279975" cy="199805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15</a:t>
                    </a:r>
                  </a:p>
                </xdr:txBody>
              </xdr:sp>
            </xdr:grpSp>
          </xdr:grpSp>
        </xdr:grpSp>
        <xdr:grpSp>
          <xdr:nvGrpSpPr>
            <xdr:cNvPr id="82" name="Group 95"/>
            <xdr:cNvGrpSpPr>
              <a:grpSpLocks/>
            </xdr:cNvGrpSpPr>
          </xdr:nvGrpSpPr>
          <xdr:grpSpPr>
            <a:xfrm>
              <a:off x="5999440" y="5220120"/>
              <a:ext cx="2339820" cy="1620060"/>
              <a:chOff x="6000000" y="5220000"/>
              <a:chExt cx="2340000" cy="1620000"/>
            </a:xfrm>
            <a:solidFill>
              <a:srgbClr val="FFFFFF"/>
            </a:solidFill>
          </xdr:grpSpPr>
          <xdr:grpSp>
            <xdr:nvGrpSpPr>
              <xdr:cNvPr id="83" name="Group 82"/>
              <xdr:cNvGrpSpPr>
                <a:grpSpLocks/>
              </xdr:cNvGrpSpPr>
            </xdr:nvGrpSpPr>
            <xdr:grpSpPr>
              <a:xfrm>
                <a:off x="6000000" y="5220000"/>
                <a:ext cx="2340000" cy="1620000"/>
                <a:chOff x="6000000" y="5220000"/>
                <a:chExt cx="2340000" cy="1620000"/>
              </a:xfrm>
              <a:solidFill>
                <a:srgbClr val="FFFFFF"/>
              </a:solidFill>
            </xdr:grpSpPr>
            <xdr:sp>
              <xdr:nvSpPr>
                <xdr:cNvPr id="84" name="Rectangle 77"/>
                <xdr:cNvSpPr>
                  <a:spLocks/>
                </xdr:cNvSpPr>
              </xdr:nvSpPr>
              <xdr:spPr>
                <a:xfrm>
                  <a:off x="6000000" y="5220000"/>
                  <a:ext cx="2340000" cy="31995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5" name="Rectangle 78"/>
                <xdr:cNvSpPr>
                  <a:spLocks/>
                </xdr:cNvSpPr>
              </xdr:nvSpPr>
              <xdr:spPr>
                <a:xfrm>
                  <a:off x="6000000" y="6499800"/>
                  <a:ext cx="2340000" cy="3402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6" name="Rectangle 79"/>
                <xdr:cNvSpPr>
                  <a:spLocks/>
                </xdr:cNvSpPr>
              </xdr:nvSpPr>
              <xdr:spPr>
                <a:xfrm>
                  <a:off x="6000000" y="6179850"/>
                  <a:ext cx="2340000" cy="31995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7" name="Rectangle 80"/>
                <xdr:cNvSpPr>
                  <a:spLocks/>
                </xdr:cNvSpPr>
              </xdr:nvSpPr>
              <xdr:spPr>
                <a:xfrm>
                  <a:off x="6000000" y="5880150"/>
                  <a:ext cx="2340000" cy="300105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8" name="Rectangle 81"/>
                <xdr:cNvSpPr>
                  <a:spLocks/>
                </xdr:cNvSpPr>
              </xdr:nvSpPr>
              <xdr:spPr>
                <a:xfrm>
                  <a:off x="6000000" y="5539950"/>
                  <a:ext cx="2340000" cy="3402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9" name="Group 88"/>
              <xdr:cNvGrpSpPr>
                <a:grpSpLocks/>
              </xdr:cNvGrpSpPr>
            </xdr:nvGrpSpPr>
            <xdr:grpSpPr>
              <a:xfrm>
                <a:off x="6000000" y="5220000"/>
                <a:ext cx="1179945" cy="1620000"/>
                <a:chOff x="6000000" y="5220000"/>
                <a:chExt cx="1180000" cy="1620000"/>
              </a:xfrm>
              <a:solidFill>
                <a:srgbClr val="FFFFFF"/>
              </a:solidFill>
            </xdr:grpSpPr>
            <xdr:sp>
              <xdr:nvSpPr>
                <xdr:cNvPr id="90" name="Rectangle 83"/>
                <xdr:cNvSpPr>
                  <a:spLocks/>
                </xdr:cNvSpPr>
              </xdr:nvSpPr>
              <xdr:spPr>
                <a:xfrm>
                  <a:off x="6000000" y="5220000"/>
                  <a:ext cx="220070" cy="162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1" name="Rectangle 84"/>
                <xdr:cNvSpPr>
                  <a:spLocks/>
                </xdr:cNvSpPr>
              </xdr:nvSpPr>
              <xdr:spPr>
                <a:xfrm>
                  <a:off x="6700035" y="5220000"/>
                  <a:ext cx="220070" cy="162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2" name="Rectangle 85"/>
                <xdr:cNvSpPr>
                  <a:spLocks/>
                </xdr:cNvSpPr>
              </xdr:nvSpPr>
              <xdr:spPr>
                <a:xfrm>
                  <a:off x="6479965" y="5220000"/>
                  <a:ext cx="220070" cy="162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3" name="Rectangle 86"/>
                <xdr:cNvSpPr>
                  <a:spLocks/>
                </xdr:cNvSpPr>
              </xdr:nvSpPr>
              <xdr:spPr>
                <a:xfrm>
                  <a:off x="6220070" y="5220000"/>
                  <a:ext cx="259895" cy="162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4" name="Rectangle 87"/>
                <xdr:cNvSpPr>
                  <a:spLocks/>
                </xdr:cNvSpPr>
              </xdr:nvSpPr>
              <xdr:spPr>
                <a:xfrm>
                  <a:off x="6920105" y="5220000"/>
                  <a:ext cx="259895" cy="162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95" name="Group 89"/>
              <xdr:cNvGrpSpPr>
                <a:grpSpLocks/>
              </xdr:cNvGrpSpPr>
            </xdr:nvGrpSpPr>
            <xdr:grpSpPr>
              <a:xfrm>
                <a:off x="7179945" y="5220000"/>
                <a:ext cx="1160055" cy="1620000"/>
                <a:chOff x="7180000" y="5220000"/>
                <a:chExt cx="1160000" cy="1620000"/>
              </a:xfrm>
              <a:solidFill>
                <a:srgbClr val="FFFFFF"/>
              </a:solidFill>
            </xdr:grpSpPr>
            <xdr:sp>
              <xdr:nvSpPr>
                <xdr:cNvPr id="96" name="Rectangle 90"/>
                <xdr:cNvSpPr>
                  <a:spLocks/>
                </xdr:cNvSpPr>
              </xdr:nvSpPr>
              <xdr:spPr>
                <a:xfrm>
                  <a:off x="7180000" y="5220000"/>
                  <a:ext cx="220110" cy="162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7" name="Rectangle 91"/>
                <xdr:cNvSpPr>
                  <a:spLocks/>
                </xdr:cNvSpPr>
              </xdr:nvSpPr>
              <xdr:spPr>
                <a:xfrm>
                  <a:off x="7860050" y="5220000"/>
                  <a:ext cx="260130" cy="162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8" name="Rectangle 92"/>
                <xdr:cNvSpPr>
                  <a:spLocks/>
                </xdr:cNvSpPr>
              </xdr:nvSpPr>
              <xdr:spPr>
                <a:xfrm>
                  <a:off x="7639940" y="5220000"/>
                  <a:ext cx="220110" cy="162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9" name="Rectangle 93"/>
                <xdr:cNvSpPr>
                  <a:spLocks/>
                </xdr:cNvSpPr>
              </xdr:nvSpPr>
              <xdr:spPr>
                <a:xfrm>
                  <a:off x="7400110" y="5220000"/>
                  <a:ext cx="240120" cy="162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0" name="Rectangle 94"/>
                <xdr:cNvSpPr>
                  <a:spLocks/>
                </xdr:cNvSpPr>
              </xdr:nvSpPr>
              <xdr:spPr>
                <a:xfrm>
                  <a:off x="8119890" y="5220000"/>
                  <a:ext cx="220110" cy="162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5</xdr:col>
      <xdr:colOff>28575</xdr:colOff>
      <xdr:row>54</xdr:row>
      <xdr:rowOff>76200</xdr:rowOff>
    </xdr:from>
    <xdr:to>
      <xdr:col>9</xdr:col>
      <xdr:colOff>533400</xdr:colOff>
      <xdr:row>63</xdr:row>
      <xdr:rowOff>85725</xdr:rowOff>
    </xdr:to>
    <xdr:grpSp>
      <xdr:nvGrpSpPr>
        <xdr:cNvPr id="101" name="Group 403"/>
        <xdr:cNvGrpSpPr>
          <a:grpSpLocks/>
        </xdr:cNvGrpSpPr>
      </xdr:nvGrpSpPr>
      <xdr:grpSpPr>
        <a:xfrm>
          <a:off x="3095625" y="10248900"/>
          <a:ext cx="3552825" cy="1485900"/>
          <a:chOff x="-4658" y="-42361"/>
          <a:chExt cx="14112" cy="156"/>
        </a:xfrm>
        <a:solidFill>
          <a:srgbClr val="FFFFFF"/>
        </a:solidFill>
      </xdr:grpSpPr>
      <xdr:grpSp>
        <xdr:nvGrpSpPr>
          <xdr:cNvPr id="102" name="Group 361"/>
          <xdr:cNvGrpSpPr>
            <a:grpSpLocks/>
          </xdr:cNvGrpSpPr>
        </xdr:nvGrpSpPr>
        <xdr:grpSpPr>
          <a:xfrm>
            <a:off x="-2418" y="-42246"/>
            <a:ext cx="2519" cy="13"/>
            <a:chOff x="6240000" y="23820000"/>
            <a:chExt cx="900000" cy="260000"/>
          </a:xfrm>
          <a:solidFill>
            <a:srgbClr val="FFFFFF"/>
          </a:solidFill>
        </xdr:grpSpPr>
        <xdr:sp>
          <xdr:nvSpPr>
            <xdr:cNvPr id="103" name="Texte 362"/>
            <xdr:cNvSpPr txBox="1">
              <a:spLocks noChangeArrowheads="1"/>
            </xdr:cNvSpPr>
          </xdr:nvSpPr>
          <xdr:spPr>
            <a:xfrm>
              <a:off x="6240000" y="23820000"/>
              <a:ext cx="220050" cy="260000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500" b="1" i="0" u="none" baseline="0">
                  <a:latin typeface="Arial"/>
                  <a:ea typeface="Arial"/>
                  <a:cs typeface="Arial"/>
                </a:rPr>
                <a:t>24</a:t>
              </a:r>
            </a:p>
          </xdr:txBody>
        </xdr:sp>
        <xdr:sp>
          <xdr:nvSpPr>
            <xdr:cNvPr id="104" name="Texte 363"/>
            <xdr:cNvSpPr txBox="1">
              <a:spLocks noChangeArrowheads="1"/>
            </xdr:cNvSpPr>
          </xdr:nvSpPr>
          <xdr:spPr>
            <a:xfrm>
              <a:off x="6919950" y="23820000"/>
              <a:ext cx="220050" cy="22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500" b="1" i="0" u="none" baseline="0">
                  <a:latin typeface="Arial"/>
                  <a:ea typeface="Arial"/>
                  <a:cs typeface="Arial"/>
                </a:rPr>
                <a:t>27</a:t>
              </a:r>
            </a:p>
          </xdr:txBody>
        </xdr:sp>
        <xdr:sp>
          <xdr:nvSpPr>
            <xdr:cNvPr id="105" name="Texte 364"/>
            <xdr:cNvSpPr txBox="1">
              <a:spLocks noChangeArrowheads="1"/>
            </xdr:cNvSpPr>
          </xdr:nvSpPr>
          <xdr:spPr>
            <a:xfrm>
              <a:off x="6699900" y="23820000"/>
              <a:ext cx="240075" cy="22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500" b="1" i="0" u="none" baseline="0">
                  <a:latin typeface="Arial"/>
                  <a:ea typeface="Arial"/>
                  <a:cs typeface="Arial"/>
                </a:rPr>
                <a:t>26</a:t>
              </a:r>
            </a:p>
          </xdr:txBody>
        </xdr:sp>
        <xdr:sp>
          <xdr:nvSpPr>
            <xdr:cNvPr id="106" name="Texte 365"/>
            <xdr:cNvSpPr txBox="1">
              <a:spLocks noChangeArrowheads="1"/>
            </xdr:cNvSpPr>
          </xdr:nvSpPr>
          <xdr:spPr>
            <a:xfrm>
              <a:off x="6460050" y="23820000"/>
              <a:ext cx="240075" cy="22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500" b="1" i="0" u="none" baseline="0">
                  <a:latin typeface="Arial"/>
                  <a:ea typeface="Arial"/>
                  <a:cs typeface="Arial"/>
                </a:rPr>
                <a:t>25</a:t>
              </a:r>
            </a:p>
          </xdr:txBody>
        </xdr:sp>
      </xdr:grpSp>
      <xdr:grpSp>
        <xdr:nvGrpSpPr>
          <xdr:cNvPr id="107" name="Group 304"/>
          <xdr:cNvGrpSpPr>
            <a:grpSpLocks/>
          </xdr:cNvGrpSpPr>
        </xdr:nvGrpSpPr>
        <xdr:grpSpPr>
          <a:xfrm>
            <a:off x="-4658" y="-42361"/>
            <a:ext cx="14112" cy="156"/>
            <a:chOff x="5440000" y="21520000"/>
            <a:chExt cx="5040000" cy="3120000"/>
          </a:xfrm>
          <a:solidFill>
            <a:srgbClr val="FFFFFF"/>
          </a:solidFill>
        </xdr:grpSpPr>
        <xdr:grpSp>
          <xdr:nvGrpSpPr>
            <xdr:cNvPr id="108" name="Group 305"/>
            <xdr:cNvGrpSpPr>
              <a:grpSpLocks/>
            </xdr:cNvGrpSpPr>
          </xdr:nvGrpSpPr>
          <xdr:grpSpPr>
            <a:xfrm>
              <a:off x="5440000" y="21520000"/>
              <a:ext cx="5040000" cy="3120000"/>
              <a:chOff x="5440000" y="21520000"/>
              <a:chExt cx="5040000" cy="3120000"/>
            </a:xfrm>
            <a:solidFill>
              <a:srgbClr val="FFFFFF"/>
            </a:solidFill>
          </xdr:grpSpPr>
          <xdr:grpSp>
            <xdr:nvGrpSpPr>
              <xdr:cNvPr id="109" name="Group 306"/>
              <xdr:cNvGrpSpPr>
                <a:grpSpLocks/>
              </xdr:cNvGrpSpPr>
            </xdr:nvGrpSpPr>
            <xdr:grpSpPr>
              <a:xfrm>
                <a:off x="5920060" y="22899820"/>
                <a:ext cx="3399480" cy="1740180"/>
                <a:chOff x="5920000" y="22900000"/>
                <a:chExt cx="3400000" cy="1740000"/>
              </a:xfrm>
              <a:solidFill>
                <a:srgbClr val="FFFFFF"/>
              </a:solidFill>
            </xdr:grpSpPr>
            <xdr:sp>
              <xdr:nvSpPr>
                <xdr:cNvPr id="110" name="Rectangle 307"/>
                <xdr:cNvSpPr>
                  <a:spLocks/>
                </xdr:cNvSpPr>
              </xdr:nvSpPr>
              <xdr:spPr>
                <a:xfrm>
                  <a:off x="5920000" y="24160195"/>
                  <a:ext cx="60350" cy="180090"/>
                </a:xfrm>
                <a:prstGeom prst="rect">
                  <a:avLst/>
                </a:prstGeom>
                <a:pattFill prst="dkHorz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1" name="Rectangle 308"/>
                <xdr:cNvSpPr>
                  <a:spLocks/>
                </xdr:cNvSpPr>
              </xdr:nvSpPr>
              <xdr:spPr>
                <a:xfrm>
                  <a:off x="8339950" y="24160195"/>
                  <a:ext cx="60350" cy="200100"/>
                </a:xfrm>
                <a:prstGeom prst="rect">
                  <a:avLst/>
                </a:prstGeom>
                <a:pattFill prst="dkHorz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2" name="Rectangle 309"/>
                <xdr:cNvSpPr>
                  <a:spLocks/>
                </xdr:cNvSpPr>
              </xdr:nvSpPr>
              <xdr:spPr>
                <a:xfrm>
                  <a:off x="8660400" y="24060145"/>
                  <a:ext cx="199750" cy="60030"/>
                </a:xfrm>
                <a:prstGeom prst="rect">
                  <a:avLst/>
                </a:prstGeom>
                <a:pattFill prst="dk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3" name="Dessin 310"/>
                <xdr:cNvSpPr>
                  <a:spLocks/>
                </xdr:cNvSpPr>
              </xdr:nvSpPr>
              <xdr:spPr>
                <a:xfrm>
                  <a:off x="8740300" y="22900000"/>
                  <a:ext cx="579700" cy="1160145"/>
                </a:xfrm>
                <a:custGeom>
                  <a:pathLst>
                    <a:path h="16384" w="16384">
                      <a:moveTo>
                        <a:pt x="578" y="0"/>
                      </a:moveTo>
                      <a:lnTo>
                        <a:pt x="386" y="0"/>
                      </a:lnTo>
                      <a:lnTo>
                        <a:pt x="0" y="16384"/>
                      </a:lnTo>
                      <a:lnTo>
                        <a:pt x="16384" y="16384"/>
                      </a:lnTo>
                      <a:lnTo>
                        <a:pt x="578" y="0"/>
                      </a:lnTo>
                      <a:close/>
                    </a:path>
                  </a:pathLst>
                </a:cu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4" name="Rectangle 311"/>
                <xdr:cNvSpPr>
                  <a:spLocks/>
                </xdr:cNvSpPr>
              </xdr:nvSpPr>
              <xdr:spPr>
                <a:xfrm>
                  <a:off x="5980350" y="24239800"/>
                  <a:ext cx="2359600" cy="400200"/>
                </a:xfrm>
                <a:prstGeom prst="rect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15" name="Group 312"/>
              <xdr:cNvGrpSpPr>
                <a:grpSpLocks/>
              </xdr:cNvGrpSpPr>
            </xdr:nvGrpSpPr>
            <xdr:grpSpPr>
              <a:xfrm>
                <a:off x="5440000" y="21520000"/>
                <a:ext cx="5040000" cy="2539680"/>
                <a:chOff x="5440000" y="21520000"/>
                <a:chExt cx="5040000" cy="2540000"/>
              </a:xfrm>
              <a:solidFill>
                <a:srgbClr val="FFFFFF"/>
              </a:solidFill>
            </xdr:grpSpPr>
            <xdr:sp>
              <xdr:nvSpPr>
                <xdr:cNvPr id="116" name="Texte 313"/>
                <xdr:cNvSpPr txBox="1">
                  <a:spLocks noChangeArrowheads="1"/>
                </xdr:cNvSpPr>
              </xdr:nvSpPr>
              <xdr:spPr>
                <a:xfrm>
                  <a:off x="5440000" y="23120200"/>
                  <a:ext cx="419580" cy="339725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0" i="0" u="none" baseline="0">
                      <a:latin typeface="Arial"/>
                      <a:ea typeface="Arial"/>
                      <a:cs typeface="Arial"/>
                    </a:rPr>
                    <a:t>b</a:t>
                  </a:r>
                </a:p>
              </xdr:txBody>
            </xdr:sp>
            <xdr:sp>
              <xdr:nvSpPr>
                <xdr:cNvPr id="117" name="Texte 314"/>
                <xdr:cNvSpPr txBox="1">
                  <a:spLocks noChangeArrowheads="1"/>
                </xdr:cNvSpPr>
              </xdr:nvSpPr>
              <xdr:spPr>
                <a:xfrm>
                  <a:off x="6979720" y="21840040"/>
                  <a:ext cx="299880" cy="339725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0" i="0" u="none" baseline="0">
                      <a:latin typeface="Arial"/>
                      <a:ea typeface="Arial"/>
                      <a:cs typeface="Arial"/>
                    </a:rPr>
                    <a:t>a</a:t>
                  </a:r>
                </a:p>
              </xdr:txBody>
            </xdr:sp>
            <xdr:grpSp>
              <xdr:nvGrpSpPr>
                <xdr:cNvPr id="118" name="Group 315"/>
                <xdr:cNvGrpSpPr>
                  <a:grpSpLocks/>
                </xdr:cNvGrpSpPr>
              </xdr:nvGrpSpPr>
              <xdr:grpSpPr>
                <a:xfrm>
                  <a:off x="5999440" y="21520000"/>
                  <a:ext cx="4460400" cy="2540000"/>
                  <a:chOff x="6000000" y="21520000"/>
                  <a:chExt cx="4460000" cy="2540000"/>
                </a:xfrm>
                <a:solidFill>
                  <a:srgbClr val="FFFFFF"/>
                </a:solidFill>
              </xdr:grpSpPr>
              <xdr:sp>
                <xdr:nvSpPr>
                  <xdr:cNvPr id="119" name="Line 316"/>
                  <xdr:cNvSpPr>
                    <a:spLocks/>
                  </xdr:cNvSpPr>
                </xdr:nvSpPr>
                <xdr:spPr>
                  <a:xfrm flipV="1">
                    <a:off x="6000000" y="21760030"/>
                    <a:ext cx="0" cy="440055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0" name="Texte 317"/>
                  <xdr:cNvSpPr txBox="1">
                    <a:spLocks noChangeArrowheads="1"/>
                  </xdr:cNvSpPr>
                </xdr:nvSpPr>
                <xdr:spPr>
                  <a:xfrm>
                    <a:off x="9860130" y="23680270"/>
                    <a:ext cx="420355" cy="280035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X</a:t>
                    </a:r>
                  </a:p>
                </xdr:txBody>
              </xdr:sp>
              <xdr:sp>
                <xdr:nvSpPr>
                  <xdr:cNvPr id="121" name="Texte 318"/>
                  <xdr:cNvSpPr txBox="1">
                    <a:spLocks noChangeArrowheads="1"/>
                  </xdr:cNvSpPr>
                </xdr:nvSpPr>
                <xdr:spPr>
                  <a:xfrm>
                    <a:off x="6140490" y="21520000"/>
                    <a:ext cx="320005" cy="339725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</a:t>
                    </a:r>
                  </a:p>
                </xdr:txBody>
              </xdr:sp>
              <xdr:sp>
                <xdr:nvSpPr>
                  <xdr:cNvPr id="122" name="Line 319"/>
                  <xdr:cNvSpPr>
                    <a:spLocks/>
                  </xdr:cNvSpPr>
                </xdr:nvSpPr>
                <xdr:spPr>
                  <a:xfrm>
                    <a:off x="9419705" y="24060000"/>
                    <a:ext cx="1040295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23" name="Group 320"/>
                <xdr:cNvGrpSpPr>
                  <a:grpSpLocks/>
                </xdr:cNvGrpSpPr>
              </xdr:nvGrpSpPr>
              <xdr:grpSpPr>
                <a:xfrm>
                  <a:off x="8739940" y="22419795"/>
                  <a:ext cx="1740060" cy="1640205"/>
                  <a:chOff x="8740000" y="22420000"/>
                  <a:chExt cx="1740000" cy="1640000"/>
                </a:xfrm>
                <a:solidFill>
                  <a:srgbClr val="FFFFFF"/>
                </a:solidFill>
              </xdr:grpSpPr>
              <xdr:sp>
                <xdr:nvSpPr>
                  <xdr:cNvPr id="124" name="Line 321"/>
                  <xdr:cNvSpPr>
                    <a:spLocks/>
                  </xdr:cNvSpPr>
                </xdr:nvSpPr>
                <xdr:spPr>
                  <a:xfrm>
                    <a:off x="8740000" y="22420000"/>
                    <a:ext cx="980055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5" name="Line 322"/>
                  <xdr:cNvSpPr>
                    <a:spLocks/>
                  </xdr:cNvSpPr>
                </xdr:nvSpPr>
                <xdr:spPr>
                  <a:xfrm>
                    <a:off x="8740000" y="22880020"/>
                    <a:ext cx="980055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6" name="Line 323"/>
                  <xdr:cNvSpPr>
                    <a:spLocks/>
                  </xdr:cNvSpPr>
                </xdr:nvSpPr>
                <xdr:spPr>
                  <a:xfrm>
                    <a:off x="9459925" y="22420000"/>
                    <a:ext cx="0" cy="46002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arrow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7" name="Line 324"/>
                  <xdr:cNvSpPr>
                    <a:spLocks/>
                  </xdr:cNvSpPr>
                </xdr:nvSpPr>
                <xdr:spPr>
                  <a:xfrm>
                    <a:off x="9459925" y="22900110"/>
                    <a:ext cx="0" cy="115989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arrow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8" name="Texte 325"/>
                  <xdr:cNvSpPr txBox="1">
                    <a:spLocks noChangeArrowheads="1"/>
                  </xdr:cNvSpPr>
                </xdr:nvSpPr>
                <xdr:spPr>
                  <a:xfrm>
                    <a:off x="9800095" y="22460180"/>
                    <a:ext cx="519825" cy="33989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b/3</a:t>
                    </a:r>
                  </a:p>
                </xdr:txBody>
              </xdr:sp>
              <xdr:sp>
                <xdr:nvSpPr>
                  <xdr:cNvPr id="129" name="Texte 326"/>
                  <xdr:cNvSpPr txBox="1">
                    <a:spLocks noChangeArrowheads="1"/>
                  </xdr:cNvSpPr>
                </xdr:nvSpPr>
                <xdr:spPr>
                  <a:xfrm>
                    <a:off x="9800095" y="23199820"/>
                    <a:ext cx="679905" cy="33989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2b/3</a:t>
                    </a:r>
                  </a:p>
                </xdr:txBody>
              </xdr:sp>
            </xdr:grpSp>
          </xdr:grpSp>
          <xdr:grpSp>
            <xdr:nvGrpSpPr>
              <xdr:cNvPr id="130" name="Group 327"/>
              <xdr:cNvGrpSpPr>
                <a:grpSpLocks/>
              </xdr:cNvGrpSpPr>
            </xdr:nvGrpSpPr>
            <xdr:grpSpPr>
              <a:xfrm>
                <a:off x="5699560" y="22219660"/>
                <a:ext cx="1719900" cy="1920360"/>
                <a:chOff x="5700000" y="22220000"/>
                <a:chExt cx="1720000" cy="1920000"/>
              </a:xfrm>
              <a:solidFill>
                <a:srgbClr val="FFFFFF"/>
              </a:solidFill>
            </xdr:grpSpPr>
            <xdr:grpSp>
              <xdr:nvGrpSpPr>
                <xdr:cNvPr id="131" name="Group 328"/>
                <xdr:cNvGrpSpPr>
                  <a:grpSpLocks/>
                </xdr:cNvGrpSpPr>
              </xdr:nvGrpSpPr>
              <xdr:grpSpPr>
                <a:xfrm>
                  <a:off x="7159850" y="22220000"/>
                  <a:ext cx="260150" cy="1860000"/>
                  <a:chOff x="7160000" y="22220000"/>
                  <a:chExt cx="260000" cy="1860000"/>
                </a:xfrm>
                <a:solidFill>
                  <a:srgbClr val="FFFFFF"/>
                </a:solidFill>
              </xdr:grpSpPr>
              <xdr:sp>
                <xdr:nvSpPr>
                  <xdr:cNvPr id="132" name="Texte 329"/>
                  <xdr:cNvSpPr txBox="1">
                    <a:spLocks noChangeArrowheads="1"/>
                  </xdr:cNvSpPr>
                </xdr:nvSpPr>
                <xdr:spPr>
                  <a:xfrm>
                    <a:off x="7180020" y="22220000"/>
                    <a:ext cx="220025" cy="23994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6</a:t>
                    </a:r>
                  </a:p>
                </xdr:txBody>
              </xdr:sp>
              <xdr:sp>
                <xdr:nvSpPr>
                  <xdr:cNvPr id="133" name="Texte 330"/>
                  <xdr:cNvSpPr txBox="1">
                    <a:spLocks noChangeArrowheads="1"/>
                  </xdr:cNvSpPr>
                </xdr:nvSpPr>
                <xdr:spPr>
                  <a:xfrm>
                    <a:off x="7180020" y="22859840"/>
                    <a:ext cx="239980" cy="259935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14</a:t>
                    </a:r>
                  </a:p>
                </xdr:txBody>
              </xdr:sp>
              <xdr:sp>
                <xdr:nvSpPr>
                  <xdr:cNvPr id="134" name="Texte 331"/>
                  <xdr:cNvSpPr txBox="1">
                    <a:spLocks noChangeArrowheads="1"/>
                  </xdr:cNvSpPr>
                </xdr:nvSpPr>
                <xdr:spPr>
                  <a:xfrm>
                    <a:off x="7180020" y="23820065"/>
                    <a:ext cx="239980" cy="259935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28</a:t>
                    </a:r>
                  </a:p>
                </xdr:txBody>
              </xdr:sp>
              <xdr:sp>
                <xdr:nvSpPr>
                  <xdr:cNvPr id="135" name="Texte 332"/>
                  <xdr:cNvSpPr txBox="1">
                    <a:spLocks noChangeArrowheads="1"/>
                  </xdr:cNvSpPr>
                </xdr:nvSpPr>
                <xdr:spPr>
                  <a:xfrm>
                    <a:off x="7160000" y="23500145"/>
                    <a:ext cx="260000" cy="23994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22</a:t>
                    </a:r>
                  </a:p>
                </xdr:txBody>
              </xdr:sp>
              <xdr:sp>
                <xdr:nvSpPr>
                  <xdr:cNvPr id="136" name="Texte 333"/>
                  <xdr:cNvSpPr txBox="1">
                    <a:spLocks noChangeArrowheads="1"/>
                  </xdr:cNvSpPr>
                </xdr:nvSpPr>
                <xdr:spPr>
                  <a:xfrm>
                    <a:off x="7160000" y="23200220"/>
                    <a:ext cx="260000" cy="23994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18</a:t>
                    </a:r>
                  </a:p>
                </xdr:txBody>
              </xdr:sp>
              <xdr:sp>
                <xdr:nvSpPr>
                  <xdr:cNvPr id="137" name="Texte 334"/>
                  <xdr:cNvSpPr txBox="1">
                    <a:spLocks noChangeArrowheads="1"/>
                  </xdr:cNvSpPr>
                </xdr:nvSpPr>
                <xdr:spPr>
                  <a:xfrm>
                    <a:off x="7160000" y="22539920"/>
                    <a:ext cx="260000" cy="23994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xdr:txBody>
              </xdr:sp>
            </xdr:grpSp>
            <xdr:grpSp>
              <xdr:nvGrpSpPr>
                <xdr:cNvPr id="138" name="Group 335"/>
                <xdr:cNvGrpSpPr>
                  <a:grpSpLocks/>
                </xdr:cNvGrpSpPr>
              </xdr:nvGrpSpPr>
              <xdr:grpSpPr>
                <a:xfrm>
                  <a:off x="5700000" y="22340000"/>
                  <a:ext cx="300140" cy="1800000"/>
                  <a:chOff x="5700000" y="22340000"/>
                  <a:chExt cx="300000" cy="1800000"/>
                </a:xfrm>
                <a:solidFill>
                  <a:srgbClr val="FFFFFF"/>
                </a:solidFill>
              </xdr:grpSpPr>
              <xdr:sp>
                <xdr:nvSpPr>
                  <xdr:cNvPr id="139" name="Texte 336"/>
                  <xdr:cNvSpPr txBox="1">
                    <a:spLocks noChangeArrowheads="1"/>
                  </xdr:cNvSpPr>
                </xdr:nvSpPr>
                <xdr:spPr>
                  <a:xfrm>
                    <a:off x="5760000" y="22340000"/>
                    <a:ext cx="240000" cy="19980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xdr:txBody>
              </xdr:sp>
              <xdr:sp>
                <xdr:nvSpPr>
                  <xdr:cNvPr id="140" name="Texte 337"/>
                  <xdr:cNvSpPr txBox="1">
                    <a:spLocks noChangeArrowheads="1"/>
                  </xdr:cNvSpPr>
                </xdr:nvSpPr>
                <xdr:spPr>
                  <a:xfrm>
                    <a:off x="5720025" y="22960100"/>
                    <a:ext cx="279975" cy="22005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xdr:txBody>
              </xdr:sp>
              <xdr:sp>
                <xdr:nvSpPr>
                  <xdr:cNvPr id="141" name="Texte 338"/>
                  <xdr:cNvSpPr txBox="1">
                    <a:spLocks noChangeArrowheads="1"/>
                  </xdr:cNvSpPr>
                </xdr:nvSpPr>
                <xdr:spPr>
                  <a:xfrm>
                    <a:off x="5720025" y="23940200"/>
                    <a:ext cx="279975" cy="19980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23</a:t>
                    </a:r>
                  </a:p>
                </xdr:txBody>
              </xdr:sp>
              <xdr:sp>
                <xdr:nvSpPr>
                  <xdr:cNvPr id="142" name="Texte 339"/>
                  <xdr:cNvSpPr txBox="1">
                    <a:spLocks noChangeArrowheads="1"/>
                  </xdr:cNvSpPr>
                </xdr:nvSpPr>
                <xdr:spPr>
                  <a:xfrm>
                    <a:off x="5700000" y="23619800"/>
                    <a:ext cx="300000" cy="19980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19</a:t>
                    </a:r>
                  </a:p>
                </xdr:txBody>
              </xdr:sp>
              <xdr:sp>
                <xdr:nvSpPr>
                  <xdr:cNvPr id="143" name="Texte 340"/>
                  <xdr:cNvSpPr txBox="1">
                    <a:spLocks noChangeArrowheads="1"/>
                  </xdr:cNvSpPr>
                </xdr:nvSpPr>
                <xdr:spPr>
                  <a:xfrm>
                    <a:off x="5780025" y="22659950"/>
                    <a:ext cx="219975" cy="19980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7</a:t>
                    </a:r>
                  </a:p>
                </xdr:txBody>
              </xdr:sp>
              <xdr:sp>
                <xdr:nvSpPr>
                  <xdr:cNvPr id="144" name="Texte 341"/>
                  <xdr:cNvSpPr txBox="1">
                    <a:spLocks noChangeArrowheads="1"/>
                  </xdr:cNvSpPr>
                </xdr:nvSpPr>
                <xdr:spPr>
                  <a:xfrm>
                    <a:off x="5700000" y="23299850"/>
                    <a:ext cx="279975" cy="19980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15</a:t>
                    </a:r>
                  </a:p>
                </xdr:txBody>
              </xdr:sp>
            </xdr:grpSp>
          </xdr:grpSp>
        </xdr:grpSp>
        <xdr:grpSp>
          <xdr:nvGrpSpPr>
            <xdr:cNvPr id="145" name="Group 342"/>
            <xdr:cNvGrpSpPr>
              <a:grpSpLocks/>
            </xdr:cNvGrpSpPr>
          </xdr:nvGrpSpPr>
          <xdr:grpSpPr>
            <a:xfrm>
              <a:off x="5999440" y="22420120"/>
              <a:ext cx="2339820" cy="1640340"/>
              <a:chOff x="6000000" y="22420000"/>
              <a:chExt cx="2340000" cy="1640000"/>
            </a:xfrm>
            <a:solidFill>
              <a:srgbClr val="FFFFFF"/>
            </a:solidFill>
          </xdr:grpSpPr>
          <xdr:grpSp>
            <xdr:nvGrpSpPr>
              <xdr:cNvPr id="146" name="Group 343"/>
              <xdr:cNvGrpSpPr>
                <a:grpSpLocks/>
              </xdr:cNvGrpSpPr>
            </xdr:nvGrpSpPr>
            <xdr:grpSpPr>
              <a:xfrm>
                <a:off x="6000000" y="22420000"/>
                <a:ext cx="2340000" cy="1640000"/>
                <a:chOff x="6000000" y="22420000"/>
                <a:chExt cx="2340000" cy="1640000"/>
              </a:xfrm>
              <a:solidFill>
                <a:srgbClr val="FFFFFF"/>
              </a:solidFill>
            </xdr:grpSpPr>
            <xdr:sp>
              <xdr:nvSpPr>
                <xdr:cNvPr id="147" name="Rectangle 344"/>
                <xdr:cNvSpPr>
                  <a:spLocks/>
                </xdr:cNvSpPr>
              </xdr:nvSpPr>
              <xdr:spPr>
                <a:xfrm>
                  <a:off x="6000000" y="22420000"/>
                  <a:ext cx="2340000" cy="3198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8" name="Rectangle 345"/>
                <xdr:cNvSpPr>
                  <a:spLocks/>
                </xdr:cNvSpPr>
              </xdr:nvSpPr>
              <xdr:spPr>
                <a:xfrm>
                  <a:off x="6000000" y="23720110"/>
                  <a:ext cx="2340000" cy="33989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9" name="Rectangle 346"/>
                <xdr:cNvSpPr>
                  <a:spLocks/>
                </xdr:cNvSpPr>
              </xdr:nvSpPr>
              <xdr:spPr>
                <a:xfrm>
                  <a:off x="6000000" y="23399900"/>
                  <a:ext cx="2340000" cy="3198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0" name="Rectangle 347"/>
                <xdr:cNvSpPr>
                  <a:spLocks/>
                </xdr:cNvSpPr>
              </xdr:nvSpPr>
              <xdr:spPr>
                <a:xfrm>
                  <a:off x="6000000" y="23100190"/>
                  <a:ext cx="2340000" cy="30012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1" name="Rectangle 348"/>
                <xdr:cNvSpPr>
                  <a:spLocks/>
                </xdr:cNvSpPr>
              </xdr:nvSpPr>
              <xdr:spPr>
                <a:xfrm>
                  <a:off x="6000000" y="22739800"/>
                  <a:ext cx="2340000" cy="35998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52" name="Group 349"/>
              <xdr:cNvGrpSpPr>
                <a:grpSpLocks/>
              </xdr:cNvGrpSpPr>
            </xdr:nvGrpSpPr>
            <xdr:grpSpPr>
              <a:xfrm>
                <a:off x="6000000" y="22420000"/>
                <a:ext cx="1179945" cy="1640000"/>
                <a:chOff x="6000000" y="22420000"/>
                <a:chExt cx="1180000" cy="1640000"/>
              </a:xfrm>
              <a:solidFill>
                <a:srgbClr val="FFFFFF"/>
              </a:solidFill>
            </xdr:grpSpPr>
            <xdr:sp>
              <xdr:nvSpPr>
                <xdr:cNvPr id="153" name="Rectangle 350"/>
                <xdr:cNvSpPr>
                  <a:spLocks/>
                </xdr:cNvSpPr>
              </xdr:nvSpPr>
              <xdr:spPr>
                <a:xfrm>
                  <a:off x="6000000" y="22420000"/>
                  <a:ext cx="220070" cy="164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4" name="Rectangle 351"/>
                <xdr:cNvSpPr>
                  <a:spLocks/>
                </xdr:cNvSpPr>
              </xdr:nvSpPr>
              <xdr:spPr>
                <a:xfrm>
                  <a:off x="6700035" y="22420000"/>
                  <a:ext cx="220070" cy="164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5" name="Rectangle 352"/>
                <xdr:cNvSpPr>
                  <a:spLocks/>
                </xdr:cNvSpPr>
              </xdr:nvSpPr>
              <xdr:spPr>
                <a:xfrm>
                  <a:off x="6479965" y="22420000"/>
                  <a:ext cx="220070" cy="164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6" name="Rectangle 353"/>
                <xdr:cNvSpPr>
                  <a:spLocks/>
                </xdr:cNvSpPr>
              </xdr:nvSpPr>
              <xdr:spPr>
                <a:xfrm>
                  <a:off x="6220070" y="22420000"/>
                  <a:ext cx="259895" cy="164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7" name="Rectangle 354"/>
                <xdr:cNvSpPr>
                  <a:spLocks/>
                </xdr:cNvSpPr>
              </xdr:nvSpPr>
              <xdr:spPr>
                <a:xfrm>
                  <a:off x="6920105" y="22420000"/>
                  <a:ext cx="259895" cy="164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58" name="Group 355"/>
              <xdr:cNvGrpSpPr>
                <a:grpSpLocks/>
              </xdr:cNvGrpSpPr>
            </xdr:nvGrpSpPr>
            <xdr:grpSpPr>
              <a:xfrm>
                <a:off x="7179945" y="22420000"/>
                <a:ext cx="1160055" cy="1640000"/>
                <a:chOff x="7180000" y="22420000"/>
                <a:chExt cx="1160000" cy="1640000"/>
              </a:xfrm>
              <a:solidFill>
                <a:srgbClr val="FFFFFF"/>
              </a:solidFill>
            </xdr:grpSpPr>
            <xdr:sp>
              <xdr:nvSpPr>
                <xdr:cNvPr id="159" name="Rectangle 356"/>
                <xdr:cNvSpPr>
                  <a:spLocks/>
                </xdr:cNvSpPr>
              </xdr:nvSpPr>
              <xdr:spPr>
                <a:xfrm>
                  <a:off x="7180000" y="22420000"/>
                  <a:ext cx="220110" cy="164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0" name="Rectangle 357"/>
                <xdr:cNvSpPr>
                  <a:spLocks/>
                </xdr:cNvSpPr>
              </xdr:nvSpPr>
              <xdr:spPr>
                <a:xfrm>
                  <a:off x="7860050" y="22420000"/>
                  <a:ext cx="260130" cy="164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1" name="Rectangle 358"/>
                <xdr:cNvSpPr>
                  <a:spLocks/>
                </xdr:cNvSpPr>
              </xdr:nvSpPr>
              <xdr:spPr>
                <a:xfrm>
                  <a:off x="7639940" y="22420000"/>
                  <a:ext cx="220110" cy="164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2" name="Rectangle 359"/>
                <xdr:cNvSpPr>
                  <a:spLocks/>
                </xdr:cNvSpPr>
              </xdr:nvSpPr>
              <xdr:spPr>
                <a:xfrm>
                  <a:off x="7400110" y="22420000"/>
                  <a:ext cx="240120" cy="164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3" name="Rectangle 360"/>
                <xdr:cNvSpPr>
                  <a:spLocks/>
                </xdr:cNvSpPr>
              </xdr:nvSpPr>
              <xdr:spPr>
                <a:xfrm>
                  <a:off x="8119890" y="22420000"/>
                  <a:ext cx="220110" cy="164000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</xdr:col>
      <xdr:colOff>0</xdr:colOff>
      <xdr:row>115</xdr:row>
      <xdr:rowOff>47625</xdr:rowOff>
    </xdr:from>
    <xdr:to>
      <xdr:col>1</xdr:col>
      <xdr:colOff>0</xdr:colOff>
      <xdr:row>115</xdr:row>
      <xdr:rowOff>47625</xdr:rowOff>
    </xdr:to>
    <xdr:sp>
      <xdr:nvSpPr>
        <xdr:cNvPr id="164" name="Line 366"/>
        <xdr:cNvSpPr>
          <a:spLocks/>
        </xdr:cNvSpPr>
      </xdr:nvSpPr>
      <xdr:spPr>
        <a:xfrm flipH="1">
          <a:off x="762000" y="21326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113</xdr:row>
      <xdr:rowOff>76200</xdr:rowOff>
    </xdr:from>
    <xdr:to>
      <xdr:col>2</xdr:col>
      <xdr:colOff>66675</xdr:colOff>
      <xdr:row>114</xdr:row>
      <xdr:rowOff>66675</xdr:rowOff>
    </xdr:to>
    <xdr:sp>
      <xdr:nvSpPr>
        <xdr:cNvPr id="165" name="Texte 399"/>
        <xdr:cNvSpPr txBox="1">
          <a:spLocks noChangeArrowheads="1"/>
        </xdr:cNvSpPr>
      </xdr:nvSpPr>
      <xdr:spPr>
        <a:xfrm>
          <a:off x="1095375" y="21031200"/>
          <a:ext cx="247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2</xdr:col>
      <xdr:colOff>314325</xdr:colOff>
      <xdr:row>113</xdr:row>
      <xdr:rowOff>19050</xdr:rowOff>
    </xdr:from>
    <xdr:to>
      <xdr:col>2</xdr:col>
      <xdr:colOff>352425</xdr:colOff>
      <xdr:row>113</xdr:row>
      <xdr:rowOff>57150</xdr:rowOff>
    </xdr:to>
    <xdr:sp>
      <xdr:nvSpPr>
        <xdr:cNvPr id="166" name="Oval 400"/>
        <xdr:cNvSpPr>
          <a:spLocks/>
        </xdr:cNvSpPr>
      </xdr:nvSpPr>
      <xdr:spPr>
        <a:xfrm>
          <a:off x="1590675" y="20974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53</xdr:row>
      <xdr:rowOff>0</xdr:rowOff>
    </xdr:from>
    <xdr:to>
      <xdr:col>3</xdr:col>
      <xdr:colOff>581025</xdr:colOff>
      <xdr:row>53</xdr:row>
      <xdr:rowOff>0</xdr:rowOff>
    </xdr:to>
    <xdr:sp>
      <xdr:nvSpPr>
        <xdr:cNvPr id="1" name="Line 33"/>
        <xdr:cNvSpPr>
          <a:spLocks/>
        </xdr:cNvSpPr>
      </xdr:nvSpPr>
      <xdr:spPr>
        <a:xfrm flipV="1">
          <a:off x="2371725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115</xdr:row>
      <xdr:rowOff>47625</xdr:rowOff>
    </xdr:from>
    <xdr:to>
      <xdr:col>1</xdr:col>
      <xdr:colOff>0</xdr:colOff>
      <xdr:row>115</xdr:row>
      <xdr:rowOff>47625</xdr:rowOff>
    </xdr:to>
    <xdr:sp>
      <xdr:nvSpPr>
        <xdr:cNvPr id="2" name="Line 155"/>
        <xdr:cNvSpPr>
          <a:spLocks/>
        </xdr:cNvSpPr>
      </xdr:nvSpPr>
      <xdr:spPr>
        <a:xfrm flipH="1">
          <a:off x="762000" y="21326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107</xdr:row>
      <xdr:rowOff>104775</xdr:rowOff>
    </xdr:from>
    <xdr:to>
      <xdr:col>4</xdr:col>
      <xdr:colOff>28575</xdr:colOff>
      <xdr:row>113</xdr:row>
      <xdr:rowOff>38100</xdr:rowOff>
    </xdr:to>
    <xdr:grpSp>
      <xdr:nvGrpSpPr>
        <xdr:cNvPr id="3" name="Group 153"/>
        <xdr:cNvGrpSpPr>
          <a:grpSpLocks/>
        </xdr:cNvGrpSpPr>
      </xdr:nvGrpSpPr>
      <xdr:grpSpPr>
        <a:xfrm>
          <a:off x="809625" y="20069175"/>
          <a:ext cx="1771650" cy="923925"/>
          <a:chOff x="-8001" y="-160073"/>
          <a:chExt cx="16960" cy="194"/>
        </a:xfrm>
        <a:solidFill>
          <a:srgbClr val="FFFFFF"/>
        </a:solidFill>
      </xdr:grpSpPr>
      <xdr:sp>
        <xdr:nvSpPr>
          <xdr:cNvPr id="4" name="Line 149"/>
          <xdr:cNvSpPr>
            <a:spLocks/>
          </xdr:cNvSpPr>
        </xdr:nvSpPr>
        <xdr:spPr>
          <a:xfrm>
            <a:off x="-8001" y="-160073"/>
            <a:ext cx="0" cy="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50"/>
          <xdr:cNvSpPr>
            <a:spLocks/>
          </xdr:cNvSpPr>
        </xdr:nvSpPr>
        <xdr:spPr>
          <a:xfrm>
            <a:off x="-6835" y="-160073"/>
            <a:ext cx="0" cy="1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51"/>
          <xdr:cNvSpPr>
            <a:spLocks/>
          </xdr:cNvSpPr>
        </xdr:nvSpPr>
        <xdr:spPr>
          <a:xfrm>
            <a:off x="-6835" y="-159903"/>
            <a:ext cx="1579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52"/>
          <xdr:cNvSpPr>
            <a:spLocks/>
          </xdr:cNvSpPr>
        </xdr:nvSpPr>
        <xdr:spPr>
          <a:xfrm>
            <a:off x="-8001" y="-159879"/>
            <a:ext cx="1685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247650</xdr:colOff>
      <xdr:row>111</xdr:row>
      <xdr:rowOff>123825</xdr:rowOff>
    </xdr:to>
    <xdr:grpSp>
      <xdr:nvGrpSpPr>
        <xdr:cNvPr id="8" name="Group 179"/>
        <xdr:cNvGrpSpPr>
          <a:grpSpLocks/>
        </xdr:cNvGrpSpPr>
      </xdr:nvGrpSpPr>
      <xdr:grpSpPr>
        <a:xfrm>
          <a:off x="409575" y="20421600"/>
          <a:ext cx="600075" cy="333375"/>
          <a:chOff x="-18871" y="-405104"/>
          <a:chExt cx="18921" cy="175"/>
        </a:xfrm>
        <a:solidFill>
          <a:srgbClr val="FFFFFF"/>
        </a:solidFill>
      </xdr:grpSpPr>
      <xdr:sp>
        <xdr:nvSpPr>
          <xdr:cNvPr id="9" name="Line 156"/>
          <xdr:cNvSpPr>
            <a:spLocks/>
          </xdr:cNvSpPr>
        </xdr:nvSpPr>
        <xdr:spPr>
          <a:xfrm flipH="1">
            <a:off x="-14420" y="-405104"/>
            <a:ext cx="1854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66"/>
          <xdr:cNvGrpSpPr>
            <a:grpSpLocks/>
          </xdr:cNvGrpSpPr>
        </xdr:nvGrpSpPr>
        <xdr:grpSpPr>
          <a:xfrm>
            <a:off x="-18871" y="-405104"/>
            <a:ext cx="18921" cy="175"/>
            <a:chOff x="580000" y="42880000"/>
            <a:chExt cx="1020000" cy="700000"/>
          </a:xfrm>
          <a:solidFill>
            <a:srgbClr val="FFFFFF"/>
          </a:solidFill>
        </xdr:grpSpPr>
        <xdr:sp>
          <xdr:nvSpPr>
            <xdr:cNvPr id="11" name="Arc 154"/>
            <xdr:cNvSpPr>
              <a:spLocks/>
            </xdr:cNvSpPr>
          </xdr:nvSpPr>
          <xdr:spPr>
            <a:xfrm>
              <a:off x="919915" y="42880000"/>
              <a:ext cx="680085" cy="700000"/>
            </a:xfrm>
            <a:prstGeom prst="arc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Texte 157"/>
            <xdr:cNvSpPr txBox="1">
              <a:spLocks noChangeArrowheads="1"/>
            </xdr:cNvSpPr>
          </xdr:nvSpPr>
          <xdr:spPr>
            <a:xfrm>
              <a:off x="580000" y="43080025"/>
              <a:ext cx="479910" cy="439950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M</a:t>
              </a:r>
            </a:p>
          </xdr:txBody>
        </xdr:sp>
      </xdr:grpSp>
    </xdr:grpSp>
    <xdr:clientData/>
  </xdr:twoCellAnchor>
  <xdr:twoCellAnchor>
    <xdr:from>
      <xdr:col>1</xdr:col>
      <xdr:colOff>161925</xdr:colOff>
      <xdr:row>108</xdr:row>
      <xdr:rowOff>104775</xdr:rowOff>
    </xdr:from>
    <xdr:to>
      <xdr:col>4</xdr:col>
      <xdr:colOff>9525</xdr:colOff>
      <xdr:row>109</xdr:row>
      <xdr:rowOff>66675</xdr:rowOff>
    </xdr:to>
    <xdr:grpSp>
      <xdr:nvGrpSpPr>
        <xdr:cNvPr id="13" name="Group 165"/>
        <xdr:cNvGrpSpPr>
          <a:grpSpLocks/>
        </xdr:cNvGrpSpPr>
      </xdr:nvGrpSpPr>
      <xdr:grpSpPr>
        <a:xfrm>
          <a:off x="923925" y="20231100"/>
          <a:ext cx="1638300" cy="142875"/>
          <a:chOff x="-8286" y="-15834535"/>
          <a:chExt cx="18980" cy="2850"/>
        </a:xfrm>
        <a:solidFill>
          <a:srgbClr val="FFFFFF"/>
        </a:solidFill>
      </xdr:grpSpPr>
      <xdr:sp>
        <xdr:nvSpPr>
          <xdr:cNvPr id="14" name="Line 158"/>
          <xdr:cNvSpPr>
            <a:spLocks/>
          </xdr:cNvSpPr>
        </xdr:nvSpPr>
        <xdr:spPr>
          <a:xfrm>
            <a:off x="-8286" y="-15834535"/>
            <a:ext cx="189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9"/>
          <xdr:cNvSpPr>
            <a:spLocks/>
          </xdr:cNvSpPr>
        </xdr:nvSpPr>
        <xdr:spPr>
          <a:xfrm>
            <a:off x="-7114" y="-15834535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0"/>
          <xdr:cNvSpPr>
            <a:spLocks/>
          </xdr:cNvSpPr>
        </xdr:nvSpPr>
        <xdr:spPr>
          <a:xfrm>
            <a:off x="7055" y="-15834535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61"/>
          <xdr:cNvSpPr>
            <a:spLocks/>
          </xdr:cNvSpPr>
        </xdr:nvSpPr>
        <xdr:spPr>
          <a:xfrm>
            <a:off x="4065" y="-15834535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62"/>
          <xdr:cNvSpPr>
            <a:spLocks/>
          </xdr:cNvSpPr>
        </xdr:nvSpPr>
        <xdr:spPr>
          <a:xfrm>
            <a:off x="1204" y="-15834535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63"/>
          <xdr:cNvSpPr>
            <a:spLocks/>
          </xdr:cNvSpPr>
        </xdr:nvSpPr>
        <xdr:spPr>
          <a:xfrm>
            <a:off x="-1524" y="-15834535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64"/>
          <xdr:cNvSpPr>
            <a:spLocks/>
          </xdr:cNvSpPr>
        </xdr:nvSpPr>
        <xdr:spPr>
          <a:xfrm>
            <a:off x="-4257" y="-15834535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285750</xdr:colOff>
      <xdr:row>107</xdr:row>
      <xdr:rowOff>0</xdr:rowOff>
    </xdr:from>
    <xdr:to>
      <xdr:col>2</xdr:col>
      <xdr:colOff>495300</xdr:colOff>
      <xdr:row>114</xdr:row>
      <xdr:rowOff>66675</xdr:rowOff>
    </xdr:to>
    <xdr:grpSp>
      <xdr:nvGrpSpPr>
        <xdr:cNvPr id="21" name="Group 174"/>
        <xdr:cNvGrpSpPr>
          <a:grpSpLocks/>
        </xdr:cNvGrpSpPr>
      </xdr:nvGrpSpPr>
      <xdr:grpSpPr>
        <a:xfrm>
          <a:off x="285750" y="19964400"/>
          <a:ext cx="1485900" cy="1219200"/>
          <a:chOff x="-11115" y="-132019"/>
          <a:chExt cx="25900" cy="128"/>
        </a:xfrm>
        <a:solidFill>
          <a:srgbClr val="FFFFFF"/>
        </a:solidFill>
      </xdr:grpSpPr>
      <xdr:grpSp>
        <xdr:nvGrpSpPr>
          <xdr:cNvPr id="22" name="Group 173"/>
          <xdr:cNvGrpSpPr>
            <a:grpSpLocks/>
          </xdr:cNvGrpSpPr>
        </xdr:nvGrpSpPr>
        <xdr:grpSpPr>
          <a:xfrm>
            <a:off x="-11115" y="-131917"/>
            <a:ext cx="6475" cy="26"/>
            <a:chOff x="400000" y="43960000"/>
            <a:chExt cx="700000" cy="520000"/>
          </a:xfrm>
          <a:solidFill>
            <a:srgbClr val="FFFFFF"/>
          </a:solidFill>
        </xdr:grpSpPr>
        <xdr:sp>
          <xdr:nvSpPr>
            <xdr:cNvPr id="23" name="Line 170"/>
            <xdr:cNvSpPr>
              <a:spLocks/>
            </xdr:cNvSpPr>
          </xdr:nvSpPr>
          <xdr:spPr>
            <a:xfrm flipH="1">
              <a:off x="400000" y="43960000"/>
              <a:ext cx="700000" cy="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e 171"/>
            <xdr:cNvSpPr txBox="1">
              <a:spLocks noChangeArrowheads="1"/>
            </xdr:cNvSpPr>
          </xdr:nvSpPr>
          <xdr:spPr>
            <a:xfrm>
              <a:off x="619975" y="44020060"/>
              <a:ext cx="439950" cy="459940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R</a:t>
              </a:r>
            </a:p>
          </xdr:txBody>
        </xdr:sp>
      </xdr:grpSp>
      <xdr:sp>
        <xdr:nvSpPr>
          <xdr:cNvPr id="25" name="Texte 172"/>
          <xdr:cNvSpPr txBox="1">
            <a:spLocks noChangeArrowheads="1"/>
          </xdr:cNvSpPr>
        </xdr:nvSpPr>
        <xdr:spPr>
          <a:xfrm>
            <a:off x="11638" y="-132019"/>
            <a:ext cx="3147" cy="2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</xdr:col>
      <xdr:colOff>85725</xdr:colOff>
      <xdr:row>112</xdr:row>
      <xdr:rowOff>114300</xdr:rowOff>
    </xdr:from>
    <xdr:to>
      <xdr:col>3</xdr:col>
      <xdr:colOff>57150</xdr:colOff>
      <xdr:row>113</xdr:row>
      <xdr:rowOff>19050</xdr:rowOff>
    </xdr:to>
    <xdr:grpSp>
      <xdr:nvGrpSpPr>
        <xdr:cNvPr id="26" name="Group 178"/>
        <xdr:cNvGrpSpPr>
          <a:grpSpLocks/>
        </xdr:cNvGrpSpPr>
      </xdr:nvGrpSpPr>
      <xdr:grpSpPr>
        <a:xfrm>
          <a:off x="847725" y="20907375"/>
          <a:ext cx="1000125" cy="66675"/>
          <a:chOff x="-10976" y="-943999"/>
          <a:chExt cx="15759" cy="70"/>
        </a:xfrm>
        <a:solidFill>
          <a:srgbClr val="FFFFFF"/>
        </a:solidFill>
      </xdr:grpSpPr>
      <xdr:sp>
        <xdr:nvSpPr>
          <xdr:cNvPr id="27" name="Line 176"/>
          <xdr:cNvSpPr>
            <a:spLocks/>
          </xdr:cNvSpPr>
        </xdr:nvSpPr>
        <xdr:spPr>
          <a:xfrm>
            <a:off x="-10976" y="-943999"/>
            <a:ext cx="15759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77"/>
          <xdr:cNvSpPr>
            <a:spLocks/>
          </xdr:cNvSpPr>
        </xdr:nvSpPr>
        <xdr:spPr>
          <a:xfrm>
            <a:off x="-10976" y="-943999"/>
            <a:ext cx="0" cy="7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111</xdr:row>
      <xdr:rowOff>133350</xdr:rowOff>
    </xdr:from>
    <xdr:to>
      <xdr:col>2</xdr:col>
      <xdr:colOff>161925</xdr:colOff>
      <xdr:row>112</xdr:row>
      <xdr:rowOff>114300</xdr:rowOff>
    </xdr:to>
    <xdr:sp>
      <xdr:nvSpPr>
        <xdr:cNvPr id="29" name="Line 181"/>
        <xdr:cNvSpPr>
          <a:spLocks/>
        </xdr:cNvSpPr>
      </xdr:nvSpPr>
      <xdr:spPr>
        <a:xfrm>
          <a:off x="1438275" y="207645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110</xdr:row>
      <xdr:rowOff>133350</xdr:rowOff>
    </xdr:from>
    <xdr:to>
      <xdr:col>2</xdr:col>
      <xdr:colOff>228600</xdr:colOff>
      <xdr:row>111</xdr:row>
      <xdr:rowOff>123825</xdr:rowOff>
    </xdr:to>
    <xdr:sp>
      <xdr:nvSpPr>
        <xdr:cNvPr id="30" name="Texte 182"/>
        <xdr:cNvSpPr txBox="1">
          <a:spLocks noChangeArrowheads="1"/>
        </xdr:cNvSpPr>
      </xdr:nvSpPr>
      <xdr:spPr>
        <a:xfrm>
          <a:off x="1371600" y="206025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47625</xdr:colOff>
      <xdr:row>113</xdr:row>
      <xdr:rowOff>85725</xdr:rowOff>
    </xdr:from>
    <xdr:to>
      <xdr:col>1</xdr:col>
      <xdr:colOff>47625</xdr:colOff>
      <xdr:row>115</xdr:row>
      <xdr:rowOff>47625</xdr:rowOff>
    </xdr:to>
    <xdr:sp>
      <xdr:nvSpPr>
        <xdr:cNvPr id="31" name="Line 184"/>
        <xdr:cNvSpPr>
          <a:spLocks/>
        </xdr:cNvSpPr>
      </xdr:nvSpPr>
      <xdr:spPr>
        <a:xfrm>
          <a:off x="809625" y="2104072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113</xdr:row>
      <xdr:rowOff>85725</xdr:rowOff>
    </xdr:from>
    <xdr:to>
      <xdr:col>2</xdr:col>
      <xdr:colOff>333375</xdr:colOff>
      <xdr:row>115</xdr:row>
      <xdr:rowOff>47625</xdr:rowOff>
    </xdr:to>
    <xdr:sp>
      <xdr:nvSpPr>
        <xdr:cNvPr id="32" name="Line 185"/>
        <xdr:cNvSpPr>
          <a:spLocks/>
        </xdr:cNvSpPr>
      </xdr:nvSpPr>
      <xdr:spPr>
        <a:xfrm>
          <a:off x="1609725" y="2104072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114</xdr:row>
      <xdr:rowOff>85725</xdr:rowOff>
    </xdr:from>
    <xdr:to>
      <xdr:col>2</xdr:col>
      <xdr:colOff>333375</xdr:colOff>
      <xdr:row>114</xdr:row>
      <xdr:rowOff>85725</xdr:rowOff>
    </xdr:to>
    <xdr:sp>
      <xdr:nvSpPr>
        <xdr:cNvPr id="33" name="Line 186"/>
        <xdr:cNvSpPr>
          <a:spLocks/>
        </xdr:cNvSpPr>
      </xdr:nvSpPr>
      <xdr:spPr>
        <a:xfrm>
          <a:off x="819150" y="2120265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113</xdr:row>
      <xdr:rowOff>76200</xdr:rowOff>
    </xdr:from>
    <xdr:to>
      <xdr:col>2</xdr:col>
      <xdr:colOff>66675</xdr:colOff>
      <xdr:row>114</xdr:row>
      <xdr:rowOff>66675</xdr:rowOff>
    </xdr:to>
    <xdr:sp>
      <xdr:nvSpPr>
        <xdr:cNvPr id="34" name="Texte 187"/>
        <xdr:cNvSpPr txBox="1">
          <a:spLocks noChangeArrowheads="1"/>
        </xdr:cNvSpPr>
      </xdr:nvSpPr>
      <xdr:spPr>
        <a:xfrm>
          <a:off x="1095375" y="21031200"/>
          <a:ext cx="247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2</xdr:col>
      <xdr:colOff>314325</xdr:colOff>
      <xdr:row>113</xdr:row>
      <xdr:rowOff>19050</xdr:rowOff>
    </xdr:from>
    <xdr:to>
      <xdr:col>2</xdr:col>
      <xdr:colOff>352425</xdr:colOff>
      <xdr:row>113</xdr:row>
      <xdr:rowOff>57150</xdr:rowOff>
    </xdr:to>
    <xdr:sp>
      <xdr:nvSpPr>
        <xdr:cNvPr id="35" name="Oval 188"/>
        <xdr:cNvSpPr>
          <a:spLocks/>
        </xdr:cNvSpPr>
      </xdr:nvSpPr>
      <xdr:spPr>
        <a:xfrm>
          <a:off x="1590675" y="20974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110</xdr:row>
      <xdr:rowOff>38100</xdr:rowOff>
    </xdr:from>
    <xdr:to>
      <xdr:col>4</xdr:col>
      <xdr:colOff>238125</xdr:colOff>
      <xdr:row>111</xdr:row>
      <xdr:rowOff>95250</xdr:rowOff>
    </xdr:to>
    <xdr:sp>
      <xdr:nvSpPr>
        <xdr:cNvPr id="36" name="Texte 189"/>
        <xdr:cNvSpPr txBox="1">
          <a:spLocks noChangeArrowheads="1"/>
        </xdr:cNvSpPr>
      </xdr:nvSpPr>
      <xdr:spPr>
        <a:xfrm>
          <a:off x="1743075" y="20507325"/>
          <a:ext cx="1047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point de moment nul
dans le radier</a:t>
          </a:r>
        </a:p>
      </xdr:txBody>
    </xdr:sp>
    <xdr:clientData/>
  </xdr:twoCellAnchor>
  <xdr:twoCellAnchor>
    <xdr:from>
      <xdr:col>2</xdr:col>
      <xdr:colOff>333375</xdr:colOff>
      <xdr:row>111</xdr:row>
      <xdr:rowOff>95250</xdr:rowOff>
    </xdr:from>
    <xdr:to>
      <xdr:col>2</xdr:col>
      <xdr:colOff>466725</xdr:colOff>
      <xdr:row>113</xdr:row>
      <xdr:rowOff>28575</xdr:rowOff>
    </xdr:to>
    <xdr:sp>
      <xdr:nvSpPr>
        <xdr:cNvPr id="37" name="Line 190"/>
        <xdr:cNvSpPr>
          <a:spLocks/>
        </xdr:cNvSpPr>
      </xdr:nvSpPr>
      <xdr:spPr>
        <a:xfrm flipH="1">
          <a:off x="1609725" y="20726400"/>
          <a:ext cx="13335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76200</xdr:rowOff>
    </xdr:from>
    <xdr:to>
      <xdr:col>9</xdr:col>
      <xdr:colOff>523875</xdr:colOff>
      <xdr:row>20</xdr:row>
      <xdr:rowOff>85725</xdr:rowOff>
    </xdr:to>
    <xdr:grpSp>
      <xdr:nvGrpSpPr>
        <xdr:cNvPr id="38" name="Group 404"/>
        <xdr:cNvGrpSpPr>
          <a:grpSpLocks/>
        </xdr:cNvGrpSpPr>
      </xdr:nvGrpSpPr>
      <xdr:grpSpPr>
        <a:xfrm>
          <a:off x="3095625" y="2076450"/>
          <a:ext cx="3543300" cy="1485900"/>
          <a:chOff x="-4658" y="-10149"/>
          <a:chExt cx="14056" cy="156"/>
        </a:xfrm>
        <a:solidFill>
          <a:srgbClr val="FFFFFF"/>
        </a:solidFill>
      </xdr:grpSpPr>
      <xdr:grpSp>
        <xdr:nvGrpSpPr>
          <xdr:cNvPr id="39" name="Group 403"/>
          <xdr:cNvGrpSpPr>
            <a:grpSpLocks/>
          </xdr:cNvGrpSpPr>
        </xdr:nvGrpSpPr>
        <xdr:grpSpPr>
          <a:xfrm>
            <a:off x="-4658" y="-10149"/>
            <a:ext cx="14056" cy="156"/>
            <a:chOff x="5440000" y="4360000"/>
            <a:chExt cx="5020000" cy="3120000"/>
          </a:xfrm>
          <a:solidFill>
            <a:srgbClr val="FFFFFF"/>
          </a:solidFill>
        </xdr:grpSpPr>
        <xdr:grpSp>
          <xdr:nvGrpSpPr>
            <xdr:cNvPr id="40" name="Group 249"/>
            <xdr:cNvGrpSpPr>
              <a:grpSpLocks/>
            </xdr:cNvGrpSpPr>
          </xdr:nvGrpSpPr>
          <xdr:grpSpPr>
            <a:xfrm>
              <a:off x="5900585" y="5260120"/>
              <a:ext cx="3399795" cy="2219880"/>
              <a:chOff x="5900000" y="5260000"/>
              <a:chExt cx="3400000" cy="2220000"/>
            </a:xfrm>
            <a:solidFill>
              <a:srgbClr val="FFFFFF"/>
            </a:solidFill>
          </xdr:grpSpPr>
          <xdr:sp>
            <xdr:nvSpPr>
              <xdr:cNvPr id="41" name="Dessin 250"/>
              <xdr:cNvSpPr>
                <a:spLocks/>
              </xdr:cNvSpPr>
            </xdr:nvSpPr>
            <xdr:spPr>
              <a:xfrm>
                <a:off x="8760250" y="5260000"/>
                <a:ext cx="539750" cy="1660005"/>
              </a:xfrm>
              <a:custGeom>
                <a:pathLst>
                  <a:path h="16384" w="16384">
                    <a:moveTo>
                      <a:pt x="578" y="0"/>
                    </a:moveTo>
                    <a:lnTo>
                      <a:pt x="386" y="0"/>
                    </a:lnTo>
                    <a:lnTo>
                      <a:pt x="0" y="16384"/>
                    </a:lnTo>
                    <a:lnTo>
                      <a:pt x="16384" y="16384"/>
                    </a:lnTo>
                    <a:lnTo>
                      <a:pt x="578" y="0"/>
                    </a:lnTo>
                    <a:close/>
                  </a:path>
                </a:pathLst>
              </a:cu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Rectangle 251"/>
              <xdr:cNvSpPr>
                <a:spLocks/>
              </xdr:cNvSpPr>
            </xdr:nvSpPr>
            <xdr:spPr>
              <a:xfrm>
                <a:off x="5979900" y="7119805"/>
                <a:ext cx="2359600" cy="360195"/>
              </a:xfrm>
              <a:prstGeom prst="rect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Rectangle 252"/>
              <xdr:cNvSpPr>
                <a:spLocks/>
              </xdr:cNvSpPr>
            </xdr:nvSpPr>
            <xdr:spPr>
              <a:xfrm>
                <a:off x="5900000" y="7019905"/>
                <a:ext cx="79900" cy="199800"/>
              </a:xfrm>
              <a:prstGeom prst="rect">
                <a:avLst/>
              </a:prstGeom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Rectangle 253"/>
              <xdr:cNvSpPr>
                <a:spLocks/>
              </xdr:cNvSpPr>
            </xdr:nvSpPr>
            <xdr:spPr>
              <a:xfrm>
                <a:off x="8340350" y="7039885"/>
                <a:ext cx="60350" cy="179820"/>
              </a:xfrm>
              <a:prstGeom prst="rect">
                <a:avLst/>
              </a:prstGeom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Rectangle 254"/>
              <xdr:cNvSpPr>
                <a:spLocks/>
              </xdr:cNvSpPr>
            </xdr:nvSpPr>
            <xdr:spPr>
              <a:xfrm>
                <a:off x="8659950" y="6920005"/>
                <a:ext cx="199750" cy="59940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6" name="Group 402"/>
            <xdr:cNvGrpSpPr>
              <a:grpSpLocks/>
            </xdr:cNvGrpSpPr>
          </xdr:nvGrpSpPr>
          <xdr:grpSpPr>
            <a:xfrm>
              <a:off x="5440000" y="4360000"/>
              <a:ext cx="5020000" cy="2559960"/>
              <a:chOff x="5440000" y="4360000"/>
              <a:chExt cx="5020000" cy="2560000"/>
            </a:xfrm>
            <a:solidFill>
              <a:srgbClr val="FFFFFF"/>
            </a:solidFill>
          </xdr:grpSpPr>
          <xdr:sp>
            <xdr:nvSpPr>
              <xdr:cNvPr id="47" name="Line 255"/>
              <xdr:cNvSpPr>
                <a:spLocks/>
              </xdr:cNvSpPr>
            </xdr:nvSpPr>
            <xdr:spPr>
              <a:xfrm flipV="1">
                <a:off x="5999730" y="4600000"/>
                <a:ext cx="0" cy="44032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Texte 256"/>
              <xdr:cNvSpPr txBox="1">
                <a:spLocks noChangeArrowheads="1"/>
              </xdr:cNvSpPr>
            </xdr:nvSpPr>
            <xdr:spPr>
              <a:xfrm>
                <a:off x="9860110" y="6539840"/>
                <a:ext cx="400345" cy="28032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xdr:txBody>
          </xdr:sp>
          <xdr:sp>
            <xdr:nvSpPr>
              <xdr:cNvPr id="49" name="Texte 257"/>
              <xdr:cNvSpPr txBox="1">
                <a:spLocks noChangeArrowheads="1"/>
              </xdr:cNvSpPr>
            </xdr:nvSpPr>
            <xdr:spPr>
              <a:xfrm>
                <a:off x="6140290" y="4360000"/>
                <a:ext cx="299945" cy="33984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xdr:txBody>
          </xdr:sp>
          <xdr:sp>
            <xdr:nvSpPr>
              <xdr:cNvPr id="50" name="Texte 259"/>
              <xdr:cNvSpPr txBox="1">
                <a:spLocks noChangeArrowheads="1"/>
              </xdr:cNvSpPr>
            </xdr:nvSpPr>
            <xdr:spPr>
              <a:xfrm>
                <a:off x="5440000" y="5979840"/>
                <a:ext cx="420425" cy="33984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</a:t>
                </a:r>
              </a:p>
            </xdr:txBody>
          </xdr:sp>
          <xdr:sp>
            <xdr:nvSpPr>
              <xdr:cNvPr id="51" name="Texte 260"/>
              <xdr:cNvSpPr txBox="1">
                <a:spLocks noChangeArrowheads="1"/>
              </xdr:cNvSpPr>
            </xdr:nvSpPr>
            <xdr:spPr>
              <a:xfrm>
                <a:off x="6979885" y="4680000"/>
                <a:ext cx="299945" cy="33984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52" name="Line 294"/>
              <xdr:cNvSpPr>
                <a:spLocks/>
              </xdr:cNvSpPr>
            </xdr:nvSpPr>
            <xdr:spPr>
              <a:xfrm>
                <a:off x="9439685" y="6920000"/>
                <a:ext cx="1020315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3" name="Group 350"/>
            <xdr:cNvGrpSpPr>
              <a:grpSpLocks/>
            </xdr:cNvGrpSpPr>
          </xdr:nvGrpSpPr>
          <xdr:grpSpPr>
            <a:xfrm>
              <a:off x="5719865" y="5059660"/>
              <a:ext cx="1700525" cy="1939860"/>
              <a:chOff x="5720000" y="5060000"/>
              <a:chExt cx="1700000" cy="1940000"/>
            </a:xfrm>
            <a:solidFill>
              <a:srgbClr val="FFFFFF"/>
            </a:solidFill>
          </xdr:grpSpPr>
          <xdr:grpSp>
            <xdr:nvGrpSpPr>
              <xdr:cNvPr id="54" name="Group 261"/>
              <xdr:cNvGrpSpPr>
                <a:grpSpLocks/>
              </xdr:cNvGrpSpPr>
            </xdr:nvGrpSpPr>
            <xdr:grpSpPr>
              <a:xfrm>
                <a:off x="5720000" y="5179795"/>
                <a:ext cx="240125" cy="1820205"/>
                <a:chOff x="5720000" y="5180000"/>
                <a:chExt cx="240000" cy="1820000"/>
              </a:xfrm>
              <a:solidFill>
                <a:srgbClr val="FFFFFF"/>
              </a:solidFill>
            </xdr:grpSpPr>
            <xdr:sp>
              <xdr:nvSpPr>
                <xdr:cNvPr id="55" name="Texte 262"/>
                <xdr:cNvSpPr txBox="1">
                  <a:spLocks noChangeArrowheads="1"/>
                </xdr:cNvSpPr>
              </xdr:nvSpPr>
              <xdr:spPr>
                <a:xfrm>
                  <a:off x="5760020" y="5180000"/>
                  <a:ext cx="199980" cy="2002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</a:t>
                  </a:r>
                </a:p>
              </xdr:txBody>
            </xdr:sp>
            <xdr:sp>
              <xdr:nvSpPr>
                <xdr:cNvPr id="56" name="Texte 263"/>
                <xdr:cNvSpPr txBox="1">
                  <a:spLocks noChangeArrowheads="1"/>
                </xdr:cNvSpPr>
              </xdr:nvSpPr>
              <xdr:spPr>
                <a:xfrm>
                  <a:off x="5739980" y="5800165"/>
                  <a:ext cx="220020" cy="239785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11</a:t>
                  </a:r>
                </a:p>
              </xdr:txBody>
            </xdr:sp>
            <xdr:sp>
              <xdr:nvSpPr>
                <xdr:cNvPr id="57" name="Texte 264"/>
                <xdr:cNvSpPr txBox="1">
                  <a:spLocks noChangeArrowheads="1"/>
                </xdr:cNvSpPr>
              </xdr:nvSpPr>
              <xdr:spPr>
                <a:xfrm>
                  <a:off x="5739980" y="6799800"/>
                  <a:ext cx="220020" cy="2002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23</a:t>
                  </a:r>
                </a:p>
              </xdr:txBody>
            </xdr:sp>
            <xdr:sp>
              <xdr:nvSpPr>
                <xdr:cNvPr id="58" name="Texte 265"/>
                <xdr:cNvSpPr txBox="1">
                  <a:spLocks noChangeArrowheads="1"/>
                </xdr:cNvSpPr>
              </xdr:nvSpPr>
              <xdr:spPr>
                <a:xfrm>
                  <a:off x="5720000" y="6479935"/>
                  <a:ext cx="240000" cy="2002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19</a:t>
                  </a:r>
                </a:p>
              </xdr:txBody>
            </xdr:sp>
            <xdr:sp>
              <xdr:nvSpPr>
                <xdr:cNvPr id="59" name="Texte 266"/>
                <xdr:cNvSpPr txBox="1">
                  <a:spLocks noChangeArrowheads="1"/>
                </xdr:cNvSpPr>
              </xdr:nvSpPr>
              <xdr:spPr>
                <a:xfrm>
                  <a:off x="5720000" y="6180090"/>
                  <a:ext cx="240000" cy="2002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15</a:t>
                  </a:r>
                </a:p>
              </xdr:txBody>
            </xdr:sp>
            <xdr:sp>
              <xdr:nvSpPr>
                <xdr:cNvPr id="60" name="Texte 267"/>
                <xdr:cNvSpPr txBox="1">
                  <a:spLocks noChangeArrowheads="1"/>
                </xdr:cNvSpPr>
              </xdr:nvSpPr>
              <xdr:spPr>
                <a:xfrm>
                  <a:off x="5780000" y="5499865"/>
                  <a:ext cx="180000" cy="2002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7</a:t>
                  </a:r>
                </a:p>
              </xdr:txBody>
            </xdr:sp>
          </xdr:grpSp>
          <xdr:grpSp>
            <xdr:nvGrpSpPr>
              <xdr:cNvPr id="61" name="Group 268"/>
              <xdr:cNvGrpSpPr>
                <a:grpSpLocks/>
              </xdr:cNvGrpSpPr>
            </xdr:nvGrpSpPr>
            <xdr:grpSpPr>
              <a:xfrm>
                <a:off x="7139925" y="5060000"/>
                <a:ext cx="280075" cy="1879860"/>
                <a:chOff x="7140000" y="5060000"/>
                <a:chExt cx="280000" cy="1880000"/>
              </a:xfrm>
              <a:solidFill>
                <a:srgbClr val="FFFFFF"/>
              </a:solidFill>
            </xdr:grpSpPr>
            <xdr:sp>
              <xdr:nvSpPr>
                <xdr:cNvPr id="62" name="Texte 269"/>
                <xdr:cNvSpPr txBox="1">
                  <a:spLocks noChangeArrowheads="1"/>
                </xdr:cNvSpPr>
              </xdr:nvSpPr>
              <xdr:spPr>
                <a:xfrm>
                  <a:off x="7179970" y="5060000"/>
                  <a:ext cx="220010" cy="24017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6</a:t>
                  </a:r>
                </a:p>
              </xdr:txBody>
            </xdr:sp>
            <xdr:sp>
              <xdr:nvSpPr>
                <xdr:cNvPr id="63" name="Texte 270"/>
                <xdr:cNvSpPr txBox="1">
                  <a:spLocks noChangeArrowheads="1"/>
                </xdr:cNvSpPr>
              </xdr:nvSpPr>
              <xdr:spPr>
                <a:xfrm>
                  <a:off x="7160020" y="5700140"/>
                  <a:ext cx="259980" cy="28012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14</a:t>
                  </a:r>
                </a:p>
              </xdr:txBody>
            </xdr:sp>
            <xdr:sp>
              <xdr:nvSpPr>
                <xdr:cNvPr id="64" name="Texte 271"/>
                <xdr:cNvSpPr txBox="1">
                  <a:spLocks noChangeArrowheads="1"/>
                </xdr:cNvSpPr>
              </xdr:nvSpPr>
              <xdr:spPr>
                <a:xfrm>
                  <a:off x="7160020" y="6680090"/>
                  <a:ext cx="259980" cy="25991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28</a:t>
                  </a:r>
                </a:p>
              </xdr:txBody>
            </xdr:sp>
            <xdr:sp>
              <xdr:nvSpPr>
                <xdr:cNvPr id="65" name="Texte 272"/>
                <xdr:cNvSpPr txBox="1">
                  <a:spLocks noChangeArrowheads="1"/>
                </xdr:cNvSpPr>
              </xdr:nvSpPr>
              <xdr:spPr>
                <a:xfrm>
                  <a:off x="7140000" y="6360020"/>
                  <a:ext cx="280000" cy="24017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22</a:t>
                  </a:r>
                </a:p>
              </xdr:txBody>
            </xdr:sp>
            <xdr:sp>
              <xdr:nvSpPr>
                <xdr:cNvPr id="66" name="Texte 273"/>
                <xdr:cNvSpPr txBox="1">
                  <a:spLocks noChangeArrowheads="1"/>
                </xdr:cNvSpPr>
              </xdr:nvSpPr>
              <xdr:spPr>
                <a:xfrm>
                  <a:off x="7140000" y="6060160"/>
                  <a:ext cx="280000" cy="24017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18</a:t>
                  </a:r>
                </a:p>
              </xdr:txBody>
            </xdr:sp>
            <xdr:sp>
              <xdr:nvSpPr>
                <xdr:cNvPr id="67" name="Texte 274"/>
                <xdr:cNvSpPr txBox="1">
                  <a:spLocks noChangeArrowheads="1"/>
                </xdr:cNvSpPr>
              </xdr:nvSpPr>
              <xdr:spPr>
                <a:xfrm>
                  <a:off x="7140000" y="5380070"/>
                  <a:ext cx="280000" cy="24017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10</a:t>
                  </a:r>
                </a:p>
              </xdr:txBody>
            </xdr:sp>
          </xdr:grpSp>
          <xdr:grpSp>
            <xdr:nvGrpSpPr>
              <xdr:cNvPr id="68" name="Group 349"/>
              <xdr:cNvGrpSpPr>
                <a:grpSpLocks/>
              </xdr:cNvGrpSpPr>
            </xdr:nvGrpSpPr>
            <xdr:grpSpPr>
              <a:xfrm>
                <a:off x="6240200" y="6679900"/>
                <a:ext cx="900150" cy="259960"/>
                <a:chOff x="6240000" y="6680000"/>
                <a:chExt cx="900000" cy="260000"/>
              </a:xfrm>
              <a:solidFill>
                <a:srgbClr val="FFFFFF"/>
              </a:solidFill>
            </xdr:grpSpPr>
            <xdr:sp>
              <xdr:nvSpPr>
                <xdr:cNvPr id="69" name="Texte 344"/>
                <xdr:cNvSpPr txBox="1">
                  <a:spLocks noChangeArrowheads="1"/>
                </xdr:cNvSpPr>
              </xdr:nvSpPr>
              <xdr:spPr>
                <a:xfrm>
                  <a:off x="6240000" y="6680000"/>
                  <a:ext cx="220050" cy="2600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24</a:t>
                  </a:r>
                </a:p>
              </xdr:txBody>
            </xdr:sp>
            <xdr:sp>
              <xdr:nvSpPr>
                <xdr:cNvPr id="70" name="Texte 345"/>
                <xdr:cNvSpPr txBox="1">
                  <a:spLocks noChangeArrowheads="1"/>
                </xdr:cNvSpPr>
              </xdr:nvSpPr>
              <xdr:spPr>
                <a:xfrm>
                  <a:off x="6919950" y="6680000"/>
                  <a:ext cx="220050" cy="220025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27</a:t>
                  </a:r>
                </a:p>
              </xdr:txBody>
            </xdr:sp>
            <xdr:sp>
              <xdr:nvSpPr>
                <xdr:cNvPr id="71" name="Texte 346"/>
                <xdr:cNvSpPr txBox="1">
                  <a:spLocks noChangeArrowheads="1"/>
                </xdr:cNvSpPr>
              </xdr:nvSpPr>
              <xdr:spPr>
                <a:xfrm>
                  <a:off x="6699900" y="6680000"/>
                  <a:ext cx="240075" cy="220025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26</a:t>
                  </a:r>
                </a:p>
              </xdr:txBody>
            </xdr:sp>
            <xdr:sp>
              <xdr:nvSpPr>
                <xdr:cNvPr id="72" name="Texte 347"/>
                <xdr:cNvSpPr txBox="1">
                  <a:spLocks noChangeArrowheads="1"/>
                </xdr:cNvSpPr>
              </xdr:nvSpPr>
              <xdr:spPr>
                <a:xfrm>
                  <a:off x="6460050" y="6680000"/>
                  <a:ext cx="240075" cy="220025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25</a:t>
                  </a:r>
                </a:p>
              </xdr:txBody>
            </xdr:sp>
          </xdr:grpSp>
        </xdr:grpSp>
      </xdr:grpSp>
      <xdr:grpSp>
        <xdr:nvGrpSpPr>
          <xdr:cNvPr id="73" name="Group 275"/>
          <xdr:cNvGrpSpPr>
            <a:grpSpLocks/>
          </xdr:cNvGrpSpPr>
        </xdr:nvGrpSpPr>
        <xdr:grpSpPr>
          <a:xfrm>
            <a:off x="-3091" y="-10104"/>
            <a:ext cx="6554" cy="83"/>
            <a:chOff x="6000000" y="5260000"/>
            <a:chExt cx="2340000" cy="1660000"/>
          </a:xfrm>
          <a:solidFill>
            <a:srgbClr val="FFFFFF"/>
          </a:solidFill>
        </xdr:grpSpPr>
        <xdr:grpSp>
          <xdr:nvGrpSpPr>
            <xdr:cNvPr id="74" name="Group 276"/>
            <xdr:cNvGrpSpPr>
              <a:grpSpLocks/>
            </xdr:cNvGrpSpPr>
          </xdr:nvGrpSpPr>
          <xdr:grpSpPr>
            <a:xfrm>
              <a:off x="6000000" y="5260000"/>
              <a:ext cx="2340000" cy="1660000"/>
              <a:chOff x="6000000" y="5260000"/>
              <a:chExt cx="2340000" cy="1660000"/>
            </a:xfrm>
            <a:solidFill>
              <a:srgbClr val="FFFFFF"/>
            </a:solidFill>
          </xdr:grpSpPr>
          <xdr:sp>
            <xdr:nvSpPr>
              <xdr:cNvPr id="75" name="Rectangle 277"/>
              <xdr:cNvSpPr>
                <a:spLocks/>
              </xdr:cNvSpPr>
            </xdr:nvSpPr>
            <xdr:spPr>
              <a:xfrm>
                <a:off x="6000000" y="5260000"/>
                <a:ext cx="2340000" cy="31996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6" name="Rectangle 278"/>
              <xdr:cNvSpPr>
                <a:spLocks/>
              </xdr:cNvSpPr>
            </xdr:nvSpPr>
            <xdr:spPr>
              <a:xfrm>
                <a:off x="6000000" y="6580115"/>
                <a:ext cx="2340000" cy="33988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7" name="Rectangle 279"/>
              <xdr:cNvSpPr>
                <a:spLocks/>
              </xdr:cNvSpPr>
            </xdr:nvSpPr>
            <xdr:spPr>
              <a:xfrm>
                <a:off x="6000000" y="6260150"/>
                <a:ext cx="2340000" cy="31996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Rectangle 280"/>
              <xdr:cNvSpPr>
                <a:spLocks/>
              </xdr:cNvSpPr>
            </xdr:nvSpPr>
            <xdr:spPr>
              <a:xfrm>
                <a:off x="6000000" y="5940185"/>
                <a:ext cx="2340000" cy="31996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Rectangle 281"/>
              <xdr:cNvSpPr>
                <a:spLocks/>
              </xdr:cNvSpPr>
            </xdr:nvSpPr>
            <xdr:spPr>
              <a:xfrm>
                <a:off x="6000000" y="5579965"/>
                <a:ext cx="2340000" cy="35980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80" name="Group 282"/>
            <xdr:cNvGrpSpPr>
              <a:grpSpLocks/>
            </xdr:cNvGrpSpPr>
          </xdr:nvGrpSpPr>
          <xdr:grpSpPr>
            <a:xfrm>
              <a:off x="6000000" y="5260000"/>
              <a:ext cx="1160055" cy="1660000"/>
              <a:chOff x="6000000" y="5260000"/>
              <a:chExt cx="1160000" cy="1660000"/>
            </a:xfrm>
            <a:solidFill>
              <a:srgbClr val="FFFFFF"/>
            </a:solidFill>
          </xdr:grpSpPr>
          <xdr:sp>
            <xdr:nvSpPr>
              <xdr:cNvPr id="81" name="Rectangle 283"/>
              <xdr:cNvSpPr>
                <a:spLocks/>
              </xdr:cNvSpPr>
            </xdr:nvSpPr>
            <xdr:spPr>
              <a:xfrm>
                <a:off x="6000000" y="5260000"/>
                <a:ext cx="24012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2" name="Rectangle 284"/>
              <xdr:cNvSpPr>
                <a:spLocks/>
              </xdr:cNvSpPr>
            </xdr:nvSpPr>
            <xdr:spPr>
              <a:xfrm>
                <a:off x="6700060" y="5260000"/>
                <a:ext cx="24012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3" name="Rectangle 285"/>
              <xdr:cNvSpPr>
                <a:spLocks/>
              </xdr:cNvSpPr>
            </xdr:nvSpPr>
            <xdr:spPr>
              <a:xfrm>
                <a:off x="6459940" y="5260000"/>
                <a:ext cx="24012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4" name="Rectangle 286"/>
              <xdr:cNvSpPr>
                <a:spLocks/>
              </xdr:cNvSpPr>
            </xdr:nvSpPr>
            <xdr:spPr>
              <a:xfrm>
                <a:off x="6240120" y="5260000"/>
                <a:ext cx="22011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5" name="Rectangle 287"/>
              <xdr:cNvSpPr>
                <a:spLocks/>
              </xdr:cNvSpPr>
            </xdr:nvSpPr>
            <xdr:spPr>
              <a:xfrm>
                <a:off x="6939890" y="5260000"/>
                <a:ext cx="22011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86" name="Group 288"/>
            <xdr:cNvGrpSpPr>
              <a:grpSpLocks/>
            </xdr:cNvGrpSpPr>
          </xdr:nvGrpSpPr>
          <xdr:grpSpPr>
            <a:xfrm>
              <a:off x="7160055" y="5260000"/>
              <a:ext cx="1179945" cy="1660000"/>
              <a:chOff x="7160000" y="5260000"/>
              <a:chExt cx="1180000" cy="1660000"/>
            </a:xfrm>
            <a:solidFill>
              <a:srgbClr val="FFFFFF"/>
            </a:solidFill>
          </xdr:grpSpPr>
          <xdr:sp>
            <xdr:nvSpPr>
              <xdr:cNvPr id="87" name="Rectangle 289"/>
              <xdr:cNvSpPr>
                <a:spLocks/>
              </xdr:cNvSpPr>
            </xdr:nvSpPr>
            <xdr:spPr>
              <a:xfrm>
                <a:off x="7160000" y="5260000"/>
                <a:ext cx="24013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" name="Rectangle 290"/>
              <xdr:cNvSpPr>
                <a:spLocks/>
              </xdr:cNvSpPr>
            </xdr:nvSpPr>
            <xdr:spPr>
              <a:xfrm>
                <a:off x="7860035" y="5260000"/>
                <a:ext cx="24013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" name="Rectangle 291"/>
              <xdr:cNvSpPr>
                <a:spLocks/>
              </xdr:cNvSpPr>
            </xdr:nvSpPr>
            <xdr:spPr>
              <a:xfrm>
                <a:off x="7639965" y="5260000"/>
                <a:ext cx="22007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" name="Rectangle 292"/>
              <xdr:cNvSpPr>
                <a:spLocks/>
              </xdr:cNvSpPr>
            </xdr:nvSpPr>
            <xdr:spPr>
              <a:xfrm>
                <a:off x="7400130" y="5260000"/>
                <a:ext cx="24013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" name="Rectangle 293"/>
              <xdr:cNvSpPr>
                <a:spLocks/>
              </xdr:cNvSpPr>
            </xdr:nvSpPr>
            <xdr:spPr>
              <a:xfrm>
                <a:off x="8099870" y="5260000"/>
                <a:ext cx="24013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</xdr:col>
      <xdr:colOff>28575</xdr:colOff>
      <xdr:row>55</xdr:row>
      <xdr:rowOff>66675</xdr:rowOff>
    </xdr:from>
    <xdr:to>
      <xdr:col>9</xdr:col>
      <xdr:colOff>523875</xdr:colOff>
      <xdr:row>64</xdr:row>
      <xdr:rowOff>76200</xdr:rowOff>
    </xdr:to>
    <xdr:grpSp>
      <xdr:nvGrpSpPr>
        <xdr:cNvPr id="92" name="Group 405"/>
        <xdr:cNvGrpSpPr>
          <a:grpSpLocks/>
        </xdr:cNvGrpSpPr>
      </xdr:nvGrpSpPr>
      <xdr:grpSpPr>
        <a:xfrm>
          <a:off x="3095625" y="10401300"/>
          <a:ext cx="3543300" cy="1485900"/>
          <a:chOff x="-4658" y="-45111"/>
          <a:chExt cx="14056" cy="156"/>
        </a:xfrm>
        <a:solidFill>
          <a:srgbClr val="FFFFFF"/>
        </a:solidFill>
      </xdr:grpSpPr>
      <xdr:grpSp>
        <xdr:nvGrpSpPr>
          <xdr:cNvPr id="93" name="Group 406"/>
          <xdr:cNvGrpSpPr>
            <a:grpSpLocks/>
          </xdr:cNvGrpSpPr>
        </xdr:nvGrpSpPr>
        <xdr:grpSpPr>
          <a:xfrm>
            <a:off x="-4658" y="-45111"/>
            <a:ext cx="14056" cy="156"/>
            <a:chOff x="5440000" y="21840000"/>
            <a:chExt cx="5020000" cy="3120000"/>
          </a:xfrm>
          <a:solidFill>
            <a:srgbClr val="FFFFFF"/>
          </a:solidFill>
        </xdr:grpSpPr>
        <xdr:grpSp>
          <xdr:nvGrpSpPr>
            <xdr:cNvPr id="94" name="Group 407"/>
            <xdr:cNvGrpSpPr>
              <a:grpSpLocks/>
            </xdr:cNvGrpSpPr>
          </xdr:nvGrpSpPr>
          <xdr:grpSpPr>
            <a:xfrm>
              <a:off x="5900585" y="22740120"/>
              <a:ext cx="3399795" cy="2219880"/>
              <a:chOff x="5900000" y="22740000"/>
              <a:chExt cx="3400000" cy="2220000"/>
            </a:xfrm>
            <a:solidFill>
              <a:srgbClr val="FFFFFF"/>
            </a:solidFill>
          </xdr:grpSpPr>
          <xdr:sp>
            <xdr:nvSpPr>
              <xdr:cNvPr id="95" name="Dessin 408"/>
              <xdr:cNvSpPr>
                <a:spLocks/>
              </xdr:cNvSpPr>
            </xdr:nvSpPr>
            <xdr:spPr>
              <a:xfrm>
                <a:off x="8760250" y="22740000"/>
                <a:ext cx="539750" cy="1679985"/>
              </a:xfrm>
              <a:custGeom>
                <a:pathLst>
                  <a:path h="16384" w="16384">
                    <a:moveTo>
                      <a:pt x="578" y="0"/>
                    </a:moveTo>
                    <a:lnTo>
                      <a:pt x="386" y="0"/>
                    </a:lnTo>
                    <a:lnTo>
                      <a:pt x="0" y="16384"/>
                    </a:lnTo>
                    <a:lnTo>
                      <a:pt x="16384" y="16384"/>
                    </a:lnTo>
                    <a:lnTo>
                      <a:pt x="578" y="0"/>
                    </a:lnTo>
                    <a:close/>
                  </a:path>
                </a:pathLst>
              </a:cu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" name="Rectangle 409"/>
              <xdr:cNvSpPr>
                <a:spLocks/>
              </xdr:cNvSpPr>
            </xdr:nvSpPr>
            <xdr:spPr>
              <a:xfrm>
                <a:off x="5979900" y="24599805"/>
                <a:ext cx="2359600" cy="360195"/>
              </a:xfrm>
              <a:prstGeom prst="rect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" name="Rectangle 410"/>
              <xdr:cNvSpPr>
                <a:spLocks/>
              </xdr:cNvSpPr>
            </xdr:nvSpPr>
            <xdr:spPr>
              <a:xfrm>
                <a:off x="5900000" y="24499905"/>
                <a:ext cx="79900" cy="199800"/>
              </a:xfrm>
              <a:prstGeom prst="rect">
                <a:avLst/>
              </a:prstGeom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" name="Rectangle 411"/>
              <xdr:cNvSpPr>
                <a:spLocks/>
              </xdr:cNvSpPr>
            </xdr:nvSpPr>
            <xdr:spPr>
              <a:xfrm>
                <a:off x="8340350" y="24519885"/>
                <a:ext cx="60350" cy="179820"/>
              </a:xfrm>
              <a:prstGeom prst="rect">
                <a:avLst/>
              </a:prstGeom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" name="Rectangle 412"/>
              <xdr:cNvSpPr>
                <a:spLocks/>
              </xdr:cNvSpPr>
            </xdr:nvSpPr>
            <xdr:spPr>
              <a:xfrm>
                <a:off x="8659950" y="24419985"/>
                <a:ext cx="199750" cy="39960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0" name="Group 413"/>
            <xdr:cNvGrpSpPr>
              <a:grpSpLocks/>
            </xdr:cNvGrpSpPr>
          </xdr:nvGrpSpPr>
          <xdr:grpSpPr>
            <a:xfrm>
              <a:off x="5440000" y="21840000"/>
              <a:ext cx="5020000" cy="2580240"/>
              <a:chOff x="5440000" y="21840000"/>
              <a:chExt cx="5020000" cy="2580000"/>
            </a:xfrm>
            <a:solidFill>
              <a:srgbClr val="FFFFFF"/>
            </a:solidFill>
          </xdr:grpSpPr>
          <xdr:sp>
            <xdr:nvSpPr>
              <xdr:cNvPr id="101" name="Line 414"/>
              <xdr:cNvSpPr>
                <a:spLocks/>
              </xdr:cNvSpPr>
            </xdr:nvSpPr>
            <xdr:spPr>
              <a:xfrm flipV="1">
                <a:off x="5999730" y="22079940"/>
                <a:ext cx="0" cy="43989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Texte 415"/>
              <xdr:cNvSpPr txBox="1">
                <a:spLocks noChangeArrowheads="1"/>
              </xdr:cNvSpPr>
            </xdr:nvSpPr>
            <xdr:spPr>
              <a:xfrm>
                <a:off x="9860110" y="24060090"/>
                <a:ext cx="400345" cy="259935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xdr:txBody>
          </xdr:sp>
          <xdr:sp>
            <xdr:nvSpPr>
              <xdr:cNvPr id="103" name="Texte 416"/>
              <xdr:cNvSpPr txBox="1">
                <a:spLocks noChangeArrowheads="1"/>
              </xdr:cNvSpPr>
            </xdr:nvSpPr>
            <xdr:spPr>
              <a:xfrm>
                <a:off x="6140290" y="21840000"/>
                <a:ext cx="299945" cy="339915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xdr:txBody>
          </xdr:sp>
          <xdr:sp>
            <xdr:nvSpPr>
              <xdr:cNvPr id="104" name="Texte 417"/>
              <xdr:cNvSpPr txBox="1">
                <a:spLocks noChangeArrowheads="1"/>
              </xdr:cNvSpPr>
            </xdr:nvSpPr>
            <xdr:spPr>
              <a:xfrm>
                <a:off x="5440000" y="23480235"/>
                <a:ext cx="420425" cy="339915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</a:t>
                </a:r>
              </a:p>
            </xdr:txBody>
          </xdr:sp>
          <xdr:sp>
            <xdr:nvSpPr>
              <xdr:cNvPr id="105" name="Texte 418"/>
              <xdr:cNvSpPr txBox="1">
                <a:spLocks noChangeArrowheads="1"/>
              </xdr:cNvSpPr>
            </xdr:nvSpPr>
            <xdr:spPr>
              <a:xfrm>
                <a:off x="6979885" y="22159920"/>
                <a:ext cx="299945" cy="339915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106" name="Line 419"/>
              <xdr:cNvSpPr>
                <a:spLocks/>
              </xdr:cNvSpPr>
            </xdr:nvSpPr>
            <xdr:spPr>
              <a:xfrm>
                <a:off x="9439685" y="24420000"/>
                <a:ext cx="1020315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7" name="Group 420"/>
            <xdr:cNvGrpSpPr>
              <a:grpSpLocks/>
            </xdr:cNvGrpSpPr>
          </xdr:nvGrpSpPr>
          <xdr:grpSpPr>
            <a:xfrm>
              <a:off x="5719865" y="22539660"/>
              <a:ext cx="1700525" cy="1939860"/>
              <a:chOff x="5720000" y="22540000"/>
              <a:chExt cx="1700000" cy="1940000"/>
            </a:xfrm>
            <a:solidFill>
              <a:srgbClr val="FFFFFF"/>
            </a:solidFill>
          </xdr:grpSpPr>
          <xdr:grpSp>
            <xdr:nvGrpSpPr>
              <xdr:cNvPr id="108" name="Group 421"/>
              <xdr:cNvGrpSpPr>
                <a:grpSpLocks/>
              </xdr:cNvGrpSpPr>
            </xdr:nvGrpSpPr>
            <xdr:grpSpPr>
              <a:xfrm>
                <a:off x="5720000" y="22659795"/>
                <a:ext cx="240125" cy="1820205"/>
                <a:chOff x="5720000" y="22660000"/>
                <a:chExt cx="240000" cy="1820000"/>
              </a:xfrm>
              <a:solidFill>
                <a:srgbClr val="FFFFFF"/>
              </a:solidFill>
            </xdr:grpSpPr>
            <xdr:sp>
              <xdr:nvSpPr>
                <xdr:cNvPr id="109" name="Texte 422"/>
                <xdr:cNvSpPr txBox="1">
                  <a:spLocks noChangeArrowheads="1"/>
                </xdr:cNvSpPr>
              </xdr:nvSpPr>
              <xdr:spPr>
                <a:xfrm>
                  <a:off x="5760020" y="22660000"/>
                  <a:ext cx="199980" cy="2002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</a:t>
                  </a:r>
                </a:p>
              </xdr:txBody>
            </xdr:sp>
            <xdr:sp>
              <xdr:nvSpPr>
                <xdr:cNvPr id="110" name="Texte 423"/>
                <xdr:cNvSpPr txBox="1">
                  <a:spLocks noChangeArrowheads="1"/>
                </xdr:cNvSpPr>
              </xdr:nvSpPr>
              <xdr:spPr>
                <a:xfrm>
                  <a:off x="5739980" y="23280165"/>
                  <a:ext cx="220020" cy="259805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11</a:t>
                  </a:r>
                </a:p>
              </xdr:txBody>
            </xdr:sp>
            <xdr:sp>
              <xdr:nvSpPr>
                <xdr:cNvPr id="111" name="Texte 424"/>
                <xdr:cNvSpPr txBox="1">
                  <a:spLocks noChangeArrowheads="1"/>
                </xdr:cNvSpPr>
              </xdr:nvSpPr>
              <xdr:spPr>
                <a:xfrm>
                  <a:off x="5739980" y="24299820"/>
                  <a:ext cx="220020" cy="18018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23</a:t>
                  </a:r>
                </a:p>
              </xdr:txBody>
            </xdr:sp>
            <xdr:sp>
              <xdr:nvSpPr>
                <xdr:cNvPr id="112" name="Texte 425"/>
                <xdr:cNvSpPr txBox="1">
                  <a:spLocks noChangeArrowheads="1"/>
                </xdr:cNvSpPr>
              </xdr:nvSpPr>
              <xdr:spPr>
                <a:xfrm>
                  <a:off x="5720000" y="23999975"/>
                  <a:ext cx="240000" cy="2002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19</a:t>
                  </a:r>
                </a:p>
              </xdr:txBody>
            </xdr:sp>
            <xdr:sp>
              <xdr:nvSpPr>
                <xdr:cNvPr id="113" name="Texte 426"/>
                <xdr:cNvSpPr txBox="1">
                  <a:spLocks noChangeArrowheads="1"/>
                </xdr:cNvSpPr>
              </xdr:nvSpPr>
              <xdr:spPr>
                <a:xfrm>
                  <a:off x="5720000" y="23680110"/>
                  <a:ext cx="240000" cy="2002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15</a:t>
                  </a:r>
                </a:p>
              </xdr:txBody>
            </xdr:sp>
            <xdr:sp>
              <xdr:nvSpPr>
                <xdr:cNvPr id="114" name="Texte 427"/>
                <xdr:cNvSpPr txBox="1">
                  <a:spLocks noChangeArrowheads="1"/>
                </xdr:cNvSpPr>
              </xdr:nvSpPr>
              <xdr:spPr>
                <a:xfrm>
                  <a:off x="5780000" y="22979865"/>
                  <a:ext cx="180000" cy="2002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7</a:t>
                  </a:r>
                </a:p>
              </xdr:txBody>
            </xdr:sp>
          </xdr:grpSp>
          <xdr:grpSp>
            <xdr:nvGrpSpPr>
              <xdr:cNvPr id="115" name="Group 428"/>
              <xdr:cNvGrpSpPr>
                <a:grpSpLocks/>
              </xdr:cNvGrpSpPr>
            </xdr:nvGrpSpPr>
            <xdr:grpSpPr>
              <a:xfrm>
                <a:off x="7139925" y="22540000"/>
                <a:ext cx="280075" cy="1900230"/>
                <a:chOff x="7140000" y="22540000"/>
                <a:chExt cx="280000" cy="1900000"/>
              </a:xfrm>
              <a:solidFill>
                <a:srgbClr val="FFFFFF"/>
              </a:solidFill>
            </xdr:grpSpPr>
            <xdr:sp>
              <xdr:nvSpPr>
                <xdr:cNvPr id="116" name="Texte 429"/>
                <xdr:cNvSpPr txBox="1">
                  <a:spLocks noChangeArrowheads="1"/>
                </xdr:cNvSpPr>
              </xdr:nvSpPr>
              <xdr:spPr>
                <a:xfrm>
                  <a:off x="7179970" y="22540000"/>
                  <a:ext cx="220010" cy="239875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6</a:t>
                  </a:r>
                </a:p>
              </xdr:txBody>
            </xdr:sp>
            <xdr:sp>
              <xdr:nvSpPr>
                <xdr:cNvPr id="117" name="Texte 430"/>
                <xdr:cNvSpPr txBox="1">
                  <a:spLocks noChangeArrowheads="1"/>
                </xdr:cNvSpPr>
              </xdr:nvSpPr>
              <xdr:spPr>
                <a:xfrm>
                  <a:off x="7160020" y="23179825"/>
                  <a:ext cx="259980" cy="3002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14</a:t>
                  </a:r>
                </a:p>
              </xdr:txBody>
            </xdr:sp>
            <xdr:sp>
              <xdr:nvSpPr>
                <xdr:cNvPr id="118" name="Texte 431"/>
                <xdr:cNvSpPr txBox="1">
                  <a:spLocks noChangeArrowheads="1"/>
                </xdr:cNvSpPr>
              </xdr:nvSpPr>
              <xdr:spPr>
                <a:xfrm>
                  <a:off x="7160020" y="24200125"/>
                  <a:ext cx="259980" cy="239875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28</a:t>
                  </a:r>
                </a:p>
              </xdr:txBody>
            </xdr:sp>
            <xdr:sp>
              <xdr:nvSpPr>
                <xdr:cNvPr id="119" name="Texte 432"/>
                <xdr:cNvSpPr txBox="1">
                  <a:spLocks noChangeArrowheads="1"/>
                </xdr:cNvSpPr>
              </xdr:nvSpPr>
              <xdr:spPr>
                <a:xfrm>
                  <a:off x="7140000" y="23860025"/>
                  <a:ext cx="280000" cy="259825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22</a:t>
                  </a:r>
                </a:p>
              </xdr:txBody>
            </xdr:sp>
            <xdr:sp>
              <xdr:nvSpPr>
                <xdr:cNvPr id="120" name="Texte 433"/>
                <xdr:cNvSpPr txBox="1">
                  <a:spLocks noChangeArrowheads="1"/>
                </xdr:cNvSpPr>
              </xdr:nvSpPr>
              <xdr:spPr>
                <a:xfrm>
                  <a:off x="7140000" y="23559825"/>
                  <a:ext cx="280000" cy="239875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18</a:t>
                  </a:r>
                </a:p>
              </xdr:txBody>
            </xdr:sp>
            <xdr:sp>
              <xdr:nvSpPr>
                <xdr:cNvPr id="121" name="Texte 434"/>
                <xdr:cNvSpPr txBox="1">
                  <a:spLocks noChangeArrowheads="1"/>
                </xdr:cNvSpPr>
              </xdr:nvSpPr>
              <xdr:spPr>
                <a:xfrm>
                  <a:off x="7140000" y="22860150"/>
                  <a:ext cx="280000" cy="239875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10</a:t>
                  </a:r>
                </a:p>
              </xdr:txBody>
            </xdr:sp>
          </xdr:grpSp>
          <xdr:grpSp>
            <xdr:nvGrpSpPr>
              <xdr:cNvPr id="122" name="Group 435"/>
              <xdr:cNvGrpSpPr>
                <a:grpSpLocks/>
              </xdr:cNvGrpSpPr>
            </xdr:nvGrpSpPr>
            <xdr:grpSpPr>
              <a:xfrm>
                <a:off x="6240200" y="24200155"/>
                <a:ext cx="900150" cy="240075"/>
                <a:chOff x="6240000" y="24200000"/>
                <a:chExt cx="900000" cy="240000"/>
              </a:xfrm>
              <a:solidFill>
                <a:srgbClr val="FFFFFF"/>
              </a:solidFill>
            </xdr:grpSpPr>
            <xdr:sp>
              <xdr:nvSpPr>
                <xdr:cNvPr id="123" name="Texte 436"/>
                <xdr:cNvSpPr txBox="1">
                  <a:spLocks noChangeArrowheads="1"/>
                </xdr:cNvSpPr>
              </xdr:nvSpPr>
              <xdr:spPr>
                <a:xfrm>
                  <a:off x="6240000" y="24200000"/>
                  <a:ext cx="220050" cy="24000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24</a:t>
                  </a:r>
                </a:p>
              </xdr:txBody>
            </xdr:sp>
            <xdr:sp>
              <xdr:nvSpPr>
                <xdr:cNvPr id="124" name="Texte 437"/>
                <xdr:cNvSpPr txBox="1">
                  <a:spLocks noChangeArrowheads="1"/>
                </xdr:cNvSpPr>
              </xdr:nvSpPr>
              <xdr:spPr>
                <a:xfrm>
                  <a:off x="6919950" y="24200000"/>
                  <a:ext cx="220050" cy="19998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27</a:t>
                  </a:r>
                </a:p>
              </xdr:txBody>
            </xdr:sp>
            <xdr:sp>
              <xdr:nvSpPr>
                <xdr:cNvPr id="125" name="Texte 438"/>
                <xdr:cNvSpPr txBox="1">
                  <a:spLocks noChangeArrowheads="1"/>
                </xdr:cNvSpPr>
              </xdr:nvSpPr>
              <xdr:spPr>
                <a:xfrm>
                  <a:off x="6699900" y="24200000"/>
                  <a:ext cx="240075" cy="19998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26</a:t>
                  </a:r>
                </a:p>
              </xdr:txBody>
            </xdr:sp>
            <xdr:sp>
              <xdr:nvSpPr>
                <xdr:cNvPr id="126" name="Texte 439"/>
                <xdr:cNvSpPr txBox="1">
                  <a:spLocks noChangeArrowheads="1"/>
                </xdr:cNvSpPr>
              </xdr:nvSpPr>
              <xdr:spPr>
                <a:xfrm>
                  <a:off x="6460050" y="24200000"/>
                  <a:ext cx="240075" cy="199980"/>
                </a:xfrm>
                <a:prstGeom prst="rect">
                  <a:avLst/>
                </a:prstGeom>
                <a:solidFill>
                  <a:srgbClr val="FFFFFF"/>
                </a:solidFill>
                <a:ln w="1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500" b="1" i="0" u="none" baseline="0">
                      <a:latin typeface="Arial"/>
                      <a:ea typeface="Arial"/>
                      <a:cs typeface="Arial"/>
                    </a:rPr>
                    <a:t>25</a:t>
                  </a:r>
                </a:p>
              </xdr:txBody>
            </xdr:sp>
          </xdr:grpSp>
        </xdr:grpSp>
      </xdr:grpSp>
      <xdr:grpSp>
        <xdr:nvGrpSpPr>
          <xdr:cNvPr id="127" name="Group 440"/>
          <xdr:cNvGrpSpPr>
            <a:grpSpLocks/>
          </xdr:cNvGrpSpPr>
        </xdr:nvGrpSpPr>
        <xdr:grpSpPr>
          <a:xfrm>
            <a:off x="-3091" y="-45066"/>
            <a:ext cx="6554" cy="84"/>
            <a:chOff x="6000000" y="22740000"/>
            <a:chExt cx="2340000" cy="1680000"/>
          </a:xfrm>
          <a:solidFill>
            <a:srgbClr val="FFFFFF"/>
          </a:solidFill>
        </xdr:grpSpPr>
        <xdr:grpSp>
          <xdr:nvGrpSpPr>
            <xdr:cNvPr id="128" name="Group 441"/>
            <xdr:cNvGrpSpPr>
              <a:grpSpLocks/>
            </xdr:cNvGrpSpPr>
          </xdr:nvGrpSpPr>
          <xdr:grpSpPr>
            <a:xfrm>
              <a:off x="6000000" y="22740000"/>
              <a:ext cx="2340000" cy="1680000"/>
              <a:chOff x="6000000" y="22740000"/>
              <a:chExt cx="2340000" cy="1680000"/>
            </a:xfrm>
            <a:solidFill>
              <a:srgbClr val="FFFFFF"/>
            </a:solidFill>
          </xdr:grpSpPr>
          <xdr:sp>
            <xdr:nvSpPr>
              <xdr:cNvPr id="129" name="Rectangle 442"/>
              <xdr:cNvSpPr>
                <a:spLocks/>
              </xdr:cNvSpPr>
            </xdr:nvSpPr>
            <xdr:spPr>
              <a:xfrm>
                <a:off x="6000000" y="22740000"/>
                <a:ext cx="2340000" cy="32004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" name="Rectangle 443"/>
              <xdr:cNvSpPr>
                <a:spLocks/>
              </xdr:cNvSpPr>
            </xdr:nvSpPr>
            <xdr:spPr>
              <a:xfrm>
                <a:off x="6000000" y="24099960"/>
                <a:ext cx="2340000" cy="32004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" name="Rectangle 444"/>
              <xdr:cNvSpPr>
                <a:spLocks/>
              </xdr:cNvSpPr>
            </xdr:nvSpPr>
            <xdr:spPr>
              <a:xfrm>
                <a:off x="6000000" y="23760180"/>
                <a:ext cx="2340000" cy="3402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" name="Rectangle 445"/>
              <xdr:cNvSpPr>
                <a:spLocks/>
              </xdr:cNvSpPr>
            </xdr:nvSpPr>
            <xdr:spPr>
              <a:xfrm>
                <a:off x="6000000" y="23440140"/>
                <a:ext cx="2340000" cy="32004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" name="Rectangle 446"/>
              <xdr:cNvSpPr>
                <a:spLocks/>
              </xdr:cNvSpPr>
            </xdr:nvSpPr>
            <xdr:spPr>
              <a:xfrm>
                <a:off x="6000000" y="23060040"/>
                <a:ext cx="2340000" cy="3801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34" name="Group 447"/>
            <xdr:cNvGrpSpPr>
              <a:grpSpLocks/>
            </xdr:cNvGrpSpPr>
          </xdr:nvGrpSpPr>
          <xdr:grpSpPr>
            <a:xfrm>
              <a:off x="6000000" y="22740000"/>
              <a:ext cx="1160055" cy="1680000"/>
              <a:chOff x="6000000" y="22740000"/>
              <a:chExt cx="1160000" cy="1680000"/>
            </a:xfrm>
            <a:solidFill>
              <a:srgbClr val="FFFFFF"/>
            </a:solidFill>
          </xdr:grpSpPr>
          <xdr:sp>
            <xdr:nvSpPr>
              <xdr:cNvPr id="135" name="Rectangle 448"/>
              <xdr:cNvSpPr>
                <a:spLocks/>
              </xdr:cNvSpPr>
            </xdr:nvSpPr>
            <xdr:spPr>
              <a:xfrm>
                <a:off x="6000000" y="22740000"/>
                <a:ext cx="24012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" name="Rectangle 449"/>
              <xdr:cNvSpPr>
                <a:spLocks/>
              </xdr:cNvSpPr>
            </xdr:nvSpPr>
            <xdr:spPr>
              <a:xfrm>
                <a:off x="6700060" y="22740000"/>
                <a:ext cx="24012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" name="Rectangle 450"/>
              <xdr:cNvSpPr>
                <a:spLocks/>
              </xdr:cNvSpPr>
            </xdr:nvSpPr>
            <xdr:spPr>
              <a:xfrm>
                <a:off x="6459940" y="22740000"/>
                <a:ext cx="24012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" name="Rectangle 451"/>
              <xdr:cNvSpPr>
                <a:spLocks/>
              </xdr:cNvSpPr>
            </xdr:nvSpPr>
            <xdr:spPr>
              <a:xfrm>
                <a:off x="6240120" y="22740000"/>
                <a:ext cx="22011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" name="Rectangle 452"/>
              <xdr:cNvSpPr>
                <a:spLocks/>
              </xdr:cNvSpPr>
            </xdr:nvSpPr>
            <xdr:spPr>
              <a:xfrm>
                <a:off x="6939890" y="22740000"/>
                <a:ext cx="22011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40" name="Group 453"/>
            <xdr:cNvGrpSpPr>
              <a:grpSpLocks/>
            </xdr:cNvGrpSpPr>
          </xdr:nvGrpSpPr>
          <xdr:grpSpPr>
            <a:xfrm>
              <a:off x="7160055" y="22740000"/>
              <a:ext cx="1179945" cy="1680000"/>
              <a:chOff x="7160000" y="22740000"/>
              <a:chExt cx="1180000" cy="1680000"/>
            </a:xfrm>
            <a:solidFill>
              <a:srgbClr val="FFFFFF"/>
            </a:solidFill>
          </xdr:grpSpPr>
          <xdr:sp>
            <xdr:nvSpPr>
              <xdr:cNvPr id="141" name="Rectangle 454"/>
              <xdr:cNvSpPr>
                <a:spLocks/>
              </xdr:cNvSpPr>
            </xdr:nvSpPr>
            <xdr:spPr>
              <a:xfrm>
                <a:off x="7160000" y="22740000"/>
                <a:ext cx="24013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" name="Rectangle 455"/>
              <xdr:cNvSpPr>
                <a:spLocks/>
              </xdr:cNvSpPr>
            </xdr:nvSpPr>
            <xdr:spPr>
              <a:xfrm>
                <a:off x="7860035" y="22740000"/>
                <a:ext cx="24013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Rectangle 456"/>
              <xdr:cNvSpPr>
                <a:spLocks/>
              </xdr:cNvSpPr>
            </xdr:nvSpPr>
            <xdr:spPr>
              <a:xfrm>
                <a:off x="7639965" y="22740000"/>
                <a:ext cx="22007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" name="Rectangle 457"/>
              <xdr:cNvSpPr>
                <a:spLocks/>
              </xdr:cNvSpPr>
            </xdr:nvSpPr>
            <xdr:spPr>
              <a:xfrm>
                <a:off x="7400130" y="22740000"/>
                <a:ext cx="24013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" name="Rectangle 458"/>
              <xdr:cNvSpPr>
                <a:spLocks/>
              </xdr:cNvSpPr>
            </xdr:nvSpPr>
            <xdr:spPr>
              <a:xfrm>
                <a:off x="8099870" y="22740000"/>
                <a:ext cx="24013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29</xdr:row>
      <xdr:rowOff>0</xdr:rowOff>
    </xdr:from>
    <xdr:to>
      <xdr:col>3</xdr:col>
      <xdr:colOff>514350</xdr:colOff>
      <xdr:row>29</xdr:row>
      <xdr:rowOff>0</xdr:rowOff>
    </xdr:to>
    <xdr:sp>
      <xdr:nvSpPr>
        <xdr:cNvPr id="1" name="Line 33"/>
        <xdr:cNvSpPr>
          <a:spLocks/>
        </xdr:cNvSpPr>
      </xdr:nvSpPr>
      <xdr:spPr>
        <a:xfrm flipV="1">
          <a:off x="2800350" y="523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13</xdr:row>
      <xdr:rowOff>19050</xdr:rowOff>
    </xdr:from>
    <xdr:to>
      <xdr:col>7</xdr:col>
      <xdr:colOff>714375</xdr:colOff>
      <xdr:row>20</xdr:row>
      <xdr:rowOff>9525</xdr:rowOff>
    </xdr:to>
    <xdr:grpSp>
      <xdr:nvGrpSpPr>
        <xdr:cNvPr id="2" name="Group 72"/>
        <xdr:cNvGrpSpPr>
          <a:grpSpLocks/>
        </xdr:cNvGrpSpPr>
      </xdr:nvGrpSpPr>
      <xdr:grpSpPr>
        <a:xfrm>
          <a:off x="3457575" y="2286000"/>
          <a:ext cx="2409825" cy="1143000"/>
          <a:chOff x="-7929" y="-26396"/>
          <a:chExt cx="16351" cy="240"/>
        </a:xfrm>
        <a:solidFill>
          <a:srgbClr val="FFFFFF"/>
        </a:solidFill>
      </xdr:grpSpPr>
      <xdr:sp>
        <xdr:nvSpPr>
          <xdr:cNvPr id="3" name="Dessin 14"/>
          <xdr:cNvSpPr>
            <a:spLocks/>
          </xdr:cNvSpPr>
        </xdr:nvSpPr>
        <xdr:spPr>
          <a:xfrm>
            <a:off x="5683" y="-26396"/>
            <a:ext cx="2739" cy="174"/>
          </a:xfrm>
          <a:custGeom>
            <a:pathLst>
              <a:path h="16384" w="16384">
                <a:moveTo>
                  <a:pt x="578" y="0"/>
                </a:moveTo>
                <a:lnTo>
                  <a:pt x="386" y="0"/>
                </a:lnTo>
                <a:lnTo>
                  <a:pt x="0" y="16384"/>
                </a:lnTo>
                <a:lnTo>
                  <a:pt x="16384" y="16384"/>
                </a:lnTo>
                <a:lnTo>
                  <a:pt x="578" y="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15"/>
          <xdr:cNvSpPr>
            <a:spLocks/>
          </xdr:cNvSpPr>
        </xdr:nvSpPr>
        <xdr:spPr>
          <a:xfrm>
            <a:off x="-7598" y="-26200"/>
            <a:ext cx="11286" cy="4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6"/>
          <xdr:cNvSpPr>
            <a:spLocks/>
          </xdr:cNvSpPr>
        </xdr:nvSpPr>
        <xdr:spPr>
          <a:xfrm>
            <a:off x="-7929" y="-26210"/>
            <a:ext cx="331" cy="20"/>
          </a:xfrm>
          <a:prstGeom prst="rect">
            <a:avLst/>
          </a:prstGeom>
          <a:pattFill prst="dk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7"/>
          <xdr:cNvSpPr>
            <a:spLocks/>
          </xdr:cNvSpPr>
        </xdr:nvSpPr>
        <xdr:spPr>
          <a:xfrm>
            <a:off x="3692" y="-26208"/>
            <a:ext cx="331" cy="20"/>
          </a:xfrm>
          <a:prstGeom prst="rect">
            <a:avLst/>
          </a:prstGeom>
          <a:pattFill prst="dk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8"/>
          <xdr:cNvSpPr>
            <a:spLocks/>
          </xdr:cNvSpPr>
        </xdr:nvSpPr>
        <xdr:spPr>
          <a:xfrm>
            <a:off x="5266" y="-26222"/>
            <a:ext cx="912" cy="6"/>
          </a:xfrm>
          <a:prstGeom prst="rect">
            <a:avLst/>
          </a:prstGeom>
          <a:pattFill prst="dk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447675</xdr:colOff>
      <xdr:row>13</xdr:row>
      <xdr:rowOff>19050</xdr:rowOff>
    </xdr:from>
    <xdr:to>
      <xdr:col>7</xdr:col>
      <xdr:colOff>0</xdr:colOff>
      <xdr:row>18</xdr:row>
      <xdr:rowOff>19050</xdr:rowOff>
    </xdr:to>
    <xdr:sp>
      <xdr:nvSpPr>
        <xdr:cNvPr id="8" name="Rectangle 1"/>
        <xdr:cNvSpPr>
          <a:spLocks/>
        </xdr:cNvSpPr>
      </xdr:nvSpPr>
      <xdr:spPr>
        <a:xfrm>
          <a:off x="3495675" y="2286000"/>
          <a:ext cx="165735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18</xdr:row>
      <xdr:rowOff>19050</xdr:rowOff>
    </xdr:from>
    <xdr:to>
      <xdr:col>4</xdr:col>
      <xdr:colOff>314325</xdr:colOff>
      <xdr:row>18</xdr:row>
      <xdr:rowOff>19050</xdr:rowOff>
    </xdr:to>
    <xdr:sp>
      <xdr:nvSpPr>
        <xdr:cNvPr id="9" name="Line 4"/>
        <xdr:cNvSpPr>
          <a:spLocks/>
        </xdr:cNvSpPr>
      </xdr:nvSpPr>
      <xdr:spPr>
        <a:xfrm flipH="1">
          <a:off x="2781300" y="311467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66675</xdr:rowOff>
    </xdr:from>
    <xdr:to>
      <xdr:col>7</xdr:col>
      <xdr:colOff>0</xdr:colOff>
      <xdr:row>12</xdr:row>
      <xdr:rowOff>114300</xdr:rowOff>
    </xdr:to>
    <xdr:sp>
      <xdr:nvSpPr>
        <xdr:cNvPr id="10" name="Line 5"/>
        <xdr:cNvSpPr>
          <a:spLocks/>
        </xdr:cNvSpPr>
      </xdr:nvSpPr>
      <xdr:spPr>
        <a:xfrm flipV="1">
          <a:off x="5153025" y="200977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10</xdr:row>
      <xdr:rowOff>152400</xdr:rowOff>
    </xdr:from>
    <xdr:to>
      <xdr:col>7</xdr:col>
      <xdr:colOff>409575</xdr:colOff>
      <xdr:row>11</xdr:row>
      <xdr:rowOff>114300</xdr:rowOff>
    </xdr:to>
    <xdr:sp>
      <xdr:nvSpPr>
        <xdr:cNvPr id="11" name="Texte 6"/>
        <xdr:cNvSpPr txBox="1">
          <a:spLocks noChangeArrowheads="1"/>
        </xdr:cNvSpPr>
      </xdr:nvSpPr>
      <xdr:spPr>
        <a:xfrm>
          <a:off x="5286375" y="1933575"/>
          <a:ext cx="2762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428625</xdr:colOff>
      <xdr:row>16</xdr:row>
      <xdr:rowOff>114300</xdr:rowOff>
    </xdr:from>
    <xdr:to>
      <xdr:col>4</xdr:col>
      <xdr:colOff>0</xdr:colOff>
      <xdr:row>17</xdr:row>
      <xdr:rowOff>123825</xdr:rowOff>
    </xdr:to>
    <xdr:sp>
      <xdr:nvSpPr>
        <xdr:cNvPr id="12" name="Texte 7"/>
        <xdr:cNvSpPr txBox="1">
          <a:spLocks noChangeArrowheads="1"/>
        </xdr:cNvSpPr>
      </xdr:nvSpPr>
      <xdr:spPr>
        <a:xfrm>
          <a:off x="2714625" y="2867025"/>
          <a:ext cx="3333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495300</xdr:colOff>
      <xdr:row>11</xdr:row>
      <xdr:rowOff>114300</xdr:rowOff>
    </xdr:from>
    <xdr:to>
      <xdr:col>6</xdr:col>
      <xdr:colOff>28575</xdr:colOff>
      <xdr:row>12</xdr:row>
      <xdr:rowOff>114300</xdr:rowOff>
    </xdr:to>
    <xdr:sp>
      <xdr:nvSpPr>
        <xdr:cNvPr id="13" name="Texte 11"/>
        <xdr:cNvSpPr txBox="1">
          <a:spLocks noChangeArrowheads="1"/>
        </xdr:cNvSpPr>
      </xdr:nvSpPr>
      <xdr:spPr>
        <a:xfrm>
          <a:off x="4124325" y="2057400"/>
          <a:ext cx="2952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190500</xdr:colOff>
      <xdr:row>15</xdr:row>
      <xdr:rowOff>19050</xdr:rowOff>
    </xdr:from>
    <xdr:to>
      <xdr:col>4</xdr:col>
      <xdr:colOff>342900</xdr:colOff>
      <xdr:row>16</xdr:row>
      <xdr:rowOff>19050</xdr:rowOff>
    </xdr:to>
    <xdr:sp>
      <xdr:nvSpPr>
        <xdr:cNvPr id="14" name="Texte 12"/>
        <xdr:cNvSpPr txBox="1">
          <a:spLocks noChangeArrowheads="1"/>
        </xdr:cNvSpPr>
      </xdr:nvSpPr>
      <xdr:spPr>
        <a:xfrm>
          <a:off x="3238500" y="2609850"/>
          <a:ext cx="1524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647700</xdr:colOff>
      <xdr:row>17</xdr:row>
      <xdr:rowOff>104775</xdr:rowOff>
    </xdr:from>
    <xdr:to>
      <xdr:col>5</xdr:col>
      <xdr:colOff>647700</xdr:colOff>
      <xdr:row>18</xdr:row>
      <xdr:rowOff>123825</xdr:rowOff>
    </xdr:to>
    <xdr:sp>
      <xdr:nvSpPr>
        <xdr:cNvPr id="15" name="Line 43"/>
        <xdr:cNvSpPr>
          <a:spLocks/>
        </xdr:cNvSpPr>
      </xdr:nvSpPr>
      <xdr:spPr>
        <a:xfrm flipV="1">
          <a:off x="4276725" y="3019425"/>
          <a:ext cx="0" cy="200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14</xdr:row>
      <xdr:rowOff>123825</xdr:rowOff>
    </xdr:from>
    <xdr:to>
      <xdr:col>5</xdr:col>
      <xdr:colOff>647700</xdr:colOff>
      <xdr:row>16</xdr:row>
      <xdr:rowOff>19050</xdr:rowOff>
    </xdr:to>
    <xdr:sp>
      <xdr:nvSpPr>
        <xdr:cNvPr id="16" name="Line 44"/>
        <xdr:cNvSpPr>
          <a:spLocks/>
        </xdr:cNvSpPr>
      </xdr:nvSpPr>
      <xdr:spPr>
        <a:xfrm flipV="1">
          <a:off x="4276725" y="2552700"/>
          <a:ext cx="0" cy="219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17</xdr:row>
      <xdr:rowOff>9525</xdr:rowOff>
    </xdr:from>
    <xdr:to>
      <xdr:col>6</xdr:col>
      <xdr:colOff>295275</xdr:colOff>
      <xdr:row>17</xdr:row>
      <xdr:rowOff>171450</xdr:rowOff>
    </xdr:to>
    <xdr:sp>
      <xdr:nvSpPr>
        <xdr:cNvPr id="17" name="Texte 45"/>
        <xdr:cNvSpPr txBox="1">
          <a:spLocks noChangeArrowheads="1"/>
        </xdr:cNvSpPr>
      </xdr:nvSpPr>
      <xdr:spPr>
        <a:xfrm>
          <a:off x="4352925" y="292417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xvs</a:t>
          </a:r>
        </a:p>
      </xdr:txBody>
    </xdr:sp>
    <xdr:clientData/>
  </xdr:twoCellAnchor>
  <xdr:twoCellAnchor>
    <xdr:from>
      <xdr:col>5</xdr:col>
      <xdr:colOff>723900</xdr:colOff>
      <xdr:row>14</xdr:row>
      <xdr:rowOff>19050</xdr:rowOff>
    </xdr:from>
    <xdr:to>
      <xdr:col>6</xdr:col>
      <xdr:colOff>323850</xdr:colOff>
      <xdr:row>15</xdr:row>
      <xdr:rowOff>19050</xdr:rowOff>
    </xdr:to>
    <xdr:sp>
      <xdr:nvSpPr>
        <xdr:cNvPr id="18" name="Texte 46"/>
        <xdr:cNvSpPr txBox="1">
          <a:spLocks noChangeArrowheads="1"/>
        </xdr:cNvSpPr>
      </xdr:nvSpPr>
      <xdr:spPr>
        <a:xfrm>
          <a:off x="4352925" y="2447925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xs</a:t>
          </a:r>
        </a:p>
      </xdr:txBody>
    </xdr:sp>
    <xdr:clientData/>
  </xdr:twoCellAnchor>
  <xdr:twoCellAnchor>
    <xdr:from>
      <xdr:col>5</xdr:col>
      <xdr:colOff>666750</xdr:colOff>
      <xdr:row>16</xdr:row>
      <xdr:rowOff>38100</xdr:rowOff>
    </xdr:from>
    <xdr:to>
      <xdr:col>6</xdr:col>
      <xdr:colOff>238125</xdr:colOff>
      <xdr:row>16</xdr:row>
      <xdr:rowOff>38100</xdr:rowOff>
    </xdr:to>
    <xdr:sp>
      <xdr:nvSpPr>
        <xdr:cNvPr id="19" name="Line 47"/>
        <xdr:cNvSpPr>
          <a:spLocks/>
        </xdr:cNvSpPr>
      </xdr:nvSpPr>
      <xdr:spPr>
        <a:xfrm>
          <a:off x="4295775" y="2790825"/>
          <a:ext cx="333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114300</xdr:rowOff>
    </xdr:from>
    <xdr:to>
      <xdr:col>6</xdr:col>
      <xdr:colOff>714375</xdr:colOff>
      <xdr:row>16</xdr:row>
      <xdr:rowOff>152400</xdr:rowOff>
    </xdr:to>
    <xdr:sp>
      <xdr:nvSpPr>
        <xdr:cNvPr id="20" name="Texte 48"/>
        <xdr:cNvSpPr txBox="1">
          <a:spLocks noChangeArrowheads="1"/>
        </xdr:cNvSpPr>
      </xdr:nvSpPr>
      <xdr:spPr>
        <a:xfrm>
          <a:off x="4724400" y="2705100"/>
          <a:ext cx="3714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ys</a:t>
          </a:r>
        </a:p>
      </xdr:txBody>
    </xdr:sp>
    <xdr:clientData/>
  </xdr:twoCellAnchor>
  <xdr:twoCellAnchor>
    <xdr:from>
      <xdr:col>4</xdr:col>
      <xdr:colOff>295275</xdr:colOff>
      <xdr:row>16</xdr:row>
      <xdr:rowOff>19050</xdr:rowOff>
    </xdr:from>
    <xdr:to>
      <xdr:col>4</xdr:col>
      <xdr:colOff>552450</xdr:colOff>
      <xdr:row>16</xdr:row>
      <xdr:rowOff>19050</xdr:rowOff>
    </xdr:to>
    <xdr:sp>
      <xdr:nvSpPr>
        <xdr:cNvPr id="21" name="Line 49"/>
        <xdr:cNvSpPr>
          <a:spLocks/>
        </xdr:cNvSpPr>
      </xdr:nvSpPr>
      <xdr:spPr>
        <a:xfrm>
          <a:off x="3343275" y="27717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114300</xdr:rowOff>
    </xdr:from>
    <xdr:to>
      <xdr:col>5</xdr:col>
      <xdr:colOff>409575</xdr:colOff>
      <xdr:row>16</xdr:row>
      <xdr:rowOff>152400</xdr:rowOff>
    </xdr:to>
    <xdr:sp>
      <xdr:nvSpPr>
        <xdr:cNvPr id="22" name="Texte 50"/>
        <xdr:cNvSpPr txBox="1">
          <a:spLocks noChangeArrowheads="1"/>
        </xdr:cNvSpPr>
      </xdr:nvSpPr>
      <xdr:spPr>
        <a:xfrm>
          <a:off x="3629025" y="2705100"/>
          <a:ext cx="4095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yvs</a:t>
          </a:r>
        </a:p>
      </xdr:txBody>
    </xdr:sp>
    <xdr:clientData/>
  </xdr:twoCellAnchor>
  <xdr:twoCellAnchor>
    <xdr:from>
      <xdr:col>4</xdr:col>
      <xdr:colOff>447675</xdr:colOff>
      <xdr:row>33</xdr:row>
      <xdr:rowOff>57150</xdr:rowOff>
    </xdr:from>
    <xdr:to>
      <xdr:col>8</xdr:col>
      <xdr:colOff>0</xdr:colOff>
      <xdr:row>40</xdr:row>
      <xdr:rowOff>152400</xdr:rowOff>
    </xdr:to>
    <xdr:grpSp>
      <xdr:nvGrpSpPr>
        <xdr:cNvPr id="23" name="Group 75"/>
        <xdr:cNvGrpSpPr>
          <a:grpSpLocks/>
        </xdr:cNvGrpSpPr>
      </xdr:nvGrpSpPr>
      <xdr:grpSpPr>
        <a:xfrm>
          <a:off x="3495675" y="5943600"/>
          <a:ext cx="2419350" cy="1247775"/>
          <a:chOff x="-7597" y="-68350"/>
          <a:chExt cx="16351" cy="262"/>
        </a:xfrm>
        <a:solidFill>
          <a:srgbClr val="FFFFFF"/>
        </a:solidFill>
      </xdr:grpSpPr>
      <xdr:sp>
        <xdr:nvSpPr>
          <xdr:cNvPr id="24" name="Dessin 58"/>
          <xdr:cNvSpPr>
            <a:spLocks/>
          </xdr:cNvSpPr>
        </xdr:nvSpPr>
        <xdr:spPr>
          <a:xfrm>
            <a:off x="6097" y="-68350"/>
            <a:ext cx="2657" cy="196"/>
          </a:xfrm>
          <a:custGeom>
            <a:pathLst>
              <a:path h="16384" w="16384">
                <a:moveTo>
                  <a:pt x="578" y="0"/>
                </a:moveTo>
                <a:lnTo>
                  <a:pt x="386" y="0"/>
                </a:lnTo>
                <a:lnTo>
                  <a:pt x="0" y="16384"/>
                </a:lnTo>
                <a:lnTo>
                  <a:pt x="16384" y="16384"/>
                </a:lnTo>
                <a:lnTo>
                  <a:pt x="578" y="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59"/>
          <xdr:cNvSpPr>
            <a:spLocks/>
          </xdr:cNvSpPr>
        </xdr:nvSpPr>
        <xdr:spPr>
          <a:xfrm>
            <a:off x="-7266" y="-68130"/>
            <a:ext cx="11372" cy="4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60"/>
          <xdr:cNvSpPr>
            <a:spLocks/>
          </xdr:cNvSpPr>
        </xdr:nvSpPr>
        <xdr:spPr>
          <a:xfrm>
            <a:off x="-7597" y="-68142"/>
            <a:ext cx="331" cy="20"/>
          </a:xfrm>
          <a:prstGeom prst="rect">
            <a:avLst/>
          </a:prstGeom>
          <a:pattFill prst="dk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61"/>
          <xdr:cNvSpPr>
            <a:spLocks/>
          </xdr:cNvSpPr>
        </xdr:nvSpPr>
        <xdr:spPr>
          <a:xfrm>
            <a:off x="4106" y="-68138"/>
            <a:ext cx="331" cy="18"/>
          </a:xfrm>
          <a:prstGeom prst="rect">
            <a:avLst/>
          </a:prstGeom>
          <a:pattFill prst="dk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62"/>
          <xdr:cNvSpPr>
            <a:spLocks/>
          </xdr:cNvSpPr>
        </xdr:nvSpPr>
        <xdr:spPr>
          <a:xfrm>
            <a:off x="5598" y="-68154"/>
            <a:ext cx="997" cy="8"/>
          </a:xfrm>
          <a:prstGeom prst="rect">
            <a:avLst/>
          </a:prstGeom>
          <a:pattFill prst="dk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485775</xdr:colOff>
      <xdr:row>33</xdr:row>
      <xdr:rowOff>57150</xdr:rowOff>
    </xdr:from>
    <xdr:to>
      <xdr:col>7</xdr:col>
      <xdr:colOff>66675</xdr:colOff>
      <xdr:row>39</xdr:row>
      <xdr:rowOff>0</xdr:rowOff>
    </xdr:to>
    <xdr:sp>
      <xdr:nvSpPr>
        <xdr:cNvPr id="29" name="Rectangle 51"/>
        <xdr:cNvSpPr>
          <a:spLocks/>
        </xdr:cNvSpPr>
      </xdr:nvSpPr>
      <xdr:spPr>
        <a:xfrm>
          <a:off x="3533775" y="5943600"/>
          <a:ext cx="168592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39</xdr:row>
      <xdr:rowOff>0</xdr:rowOff>
    </xdr:from>
    <xdr:to>
      <xdr:col>4</xdr:col>
      <xdr:colOff>352425</xdr:colOff>
      <xdr:row>39</xdr:row>
      <xdr:rowOff>0</xdr:rowOff>
    </xdr:to>
    <xdr:sp>
      <xdr:nvSpPr>
        <xdr:cNvPr id="30" name="Line 52"/>
        <xdr:cNvSpPr>
          <a:spLocks/>
        </xdr:cNvSpPr>
      </xdr:nvSpPr>
      <xdr:spPr>
        <a:xfrm flipH="1">
          <a:off x="2838450" y="687705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76200</xdr:rowOff>
    </xdr:from>
    <xdr:to>
      <xdr:col>7</xdr:col>
      <xdr:colOff>66675</xdr:colOff>
      <xdr:row>33</xdr:row>
      <xdr:rowOff>0</xdr:rowOff>
    </xdr:to>
    <xdr:sp>
      <xdr:nvSpPr>
        <xdr:cNvPr id="31" name="Line 53"/>
        <xdr:cNvSpPr>
          <a:spLocks/>
        </xdr:cNvSpPr>
      </xdr:nvSpPr>
      <xdr:spPr>
        <a:xfrm flipV="1">
          <a:off x="5219700" y="5314950"/>
          <a:ext cx="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29</xdr:row>
      <xdr:rowOff>0</xdr:rowOff>
    </xdr:from>
    <xdr:to>
      <xdr:col>7</xdr:col>
      <xdr:colOff>466725</xdr:colOff>
      <xdr:row>30</xdr:row>
      <xdr:rowOff>47625</xdr:rowOff>
    </xdr:to>
    <xdr:sp>
      <xdr:nvSpPr>
        <xdr:cNvPr id="32" name="Texte 54"/>
        <xdr:cNvSpPr txBox="1">
          <a:spLocks noChangeArrowheads="1"/>
        </xdr:cNvSpPr>
      </xdr:nvSpPr>
      <xdr:spPr>
        <a:xfrm>
          <a:off x="5353050" y="5238750"/>
          <a:ext cx="2667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485775</xdr:colOff>
      <xdr:row>37</xdr:row>
      <xdr:rowOff>57150</xdr:rowOff>
    </xdr:from>
    <xdr:to>
      <xdr:col>4</xdr:col>
      <xdr:colOff>47625</xdr:colOff>
      <xdr:row>38</xdr:row>
      <xdr:rowOff>85725</xdr:rowOff>
    </xdr:to>
    <xdr:sp>
      <xdr:nvSpPr>
        <xdr:cNvPr id="33" name="Texte 55"/>
        <xdr:cNvSpPr txBox="1">
          <a:spLocks noChangeArrowheads="1"/>
        </xdr:cNvSpPr>
      </xdr:nvSpPr>
      <xdr:spPr>
        <a:xfrm>
          <a:off x="2771775" y="6591300"/>
          <a:ext cx="3238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561975</xdr:colOff>
      <xdr:row>31</xdr:row>
      <xdr:rowOff>95250</xdr:rowOff>
    </xdr:from>
    <xdr:to>
      <xdr:col>6</xdr:col>
      <xdr:colOff>85725</xdr:colOff>
      <xdr:row>32</xdr:row>
      <xdr:rowOff>152400</xdr:rowOff>
    </xdr:to>
    <xdr:sp>
      <xdr:nvSpPr>
        <xdr:cNvPr id="34" name="Texte 56"/>
        <xdr:cNvSpPr txBox="1">
          <a:spLocks noChangeArrowheads="1"/>
        </xdr:cNvSpPr>
      </xdr:nvSpPr>
      <xdr:spPr>
        <a:xfrm>
          <a:off x="4191000" y="5657850"/>
          <a:ext cx="2857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238125</xdr:colOff>
      <xdr:row>35</xdr:row>
      <xdr:rowOff>85725</xdr:rowOff>
    </xdr:from>
    <xdr:to>
      <xdr:col>4</xdr:col>
      <xdr:colOff>390525</xdr:colOff>
      <xdr:row>36</xdr:row>
      <xdr:rowOff>133350</xdr:rowOff>
    </xdr:to>
    <xdr:sp>
      <xdr:nvSpPr>
        <xdr:cNvPr id="35" name="Texte 57"/>
        <xdr:cNvSpPr txBox="1">
          <a:spLocks noChangeArrowheads="1"/>
        </xdr:cNvSpPr>
      </xdr:nvSpPr>
      <xdr:spPr>
        <a:xfrm>
          <a:off x="3286125" y="6296025"/>
          <a:ext cx="1524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714375</xdr:colOff>
      <xdr:row>38</xdr:row>
      <xdr:rowOff>19050</xdr:rowOff>
    </xdr:from>
    <xdr:to>
      <xdr:col>5</xdr:col>
      <xdr:colOff>714375</xdr:colOff>
      <xdr:row>39</xdr:row>
      <xdr:rowOff>114300</xdr:rowOff>
    </xdr:to>
    <xdr:sp>
      <xdr:nvSpPr>
        <xdr:cNvPr id="36" name="Line 63"/>
        <xdr:cNvSpPr>
          <a:spLocks/>
        </xdr:cNvSpPr>
      </xdr:nvSpPr>
      <xdr:spPr>
        <a:xfrm flipV="1">
          <a:off x="4343400" y="6734175"/>
          <a:ext cx="0" cy="2571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35</xdr:row>
      <xdr:rowOff>38100</xdr:rowOff>
    </xdr:from>
    <xdr:to>
      <xdr:col>5</xdr:col>
      <xdr:colOff>714375</xdr:colOff>
      <xdr:row>36</xdr:row>
      <xdr:rowOff>123825</xdr:rowOff>
    </xdr:to>
    <xdr:sp>
      <xdr:nvSpPr>
        <xdr:cNvPr id="37" name="Line 64"/>
        <xdr:cNvSpPr>
          <a:spLocks/>
        </xdr:cNvSpPr>
      </xdr:nvSpPr>
      <xdr:spPr>
        <a:xfrm flipV="1">
          <a:off x="4343400" y="6248400"/>
          <a:ext cx="0" cy="2476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114300</xdr:rowOff>
    </xdr:from>
    <xdr:to>
      <xdr:col>6</xdr:col>
      <xdr:colOff>361950</xdr:colOff>
      <xdr:row>38</xdr:row>
      <xdr:rowOff>133350</xdr:rowOff>
    </xdr:to>
    <xdr:sp>
      <xdr:nvSpPr>
        <xdr:cNvPr id="38" name="Texte 65"/>
        <xdr:cNvSpPr txBox="1">
          <a:spLocks noChangeArrowheads="1"/>
        </xdr:cNvSpPr>
      </xdr:nvSpPr>
      <xdr:spPr>
        <a:xfrm>
          <a:off x="4419600" y="6648450"/>
          <a:ext cx="3333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xvs</a:t>
          </a:r>
        </a:p>
      </xdr:txBody>
    </xdr:sp>
    <xdr:clientData/>
  </xdr:twoCellAnchor>
  <xdr:twoCellAnchor>
    <xdr:from>
      <xdr:col>6</xdr:col>
      <xdr:colOff>28575</xdr:colOff>
      <xdr:row>34</xdr:row>
      <xdr:rowOff>57150</xdr:rowOff>
    </xdr:from>
    <xdr:to>
      <xdr:col>6</xdr:col>
      <xdr:colOff>390525</xdr:colOff>
      <xdr:row>35</xdr:row>
      <xdr:rowOff>95250</xdr:rowOff>
    </xdr:to>
    <xdr:sp>
      <xdr:nvSpPr>
        <xdr:cNvPr id="39" name="Texte 66"/>
        <xdr:cNvSpPr txBox="1">
          <a:spLocks noChangeArrowheads="1"/>
        </xdr:cNvSpPr>
      </xdr:nvSpPr>
      <xdr:spPr>
        <a:xfrm>
          <a:off x="4419600" y="6105525"/>
          <a:ext cx="3619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xs</a:t>
          </a:r>
        </a:p>
      </xdr:txBody>
    </xdr:sp>
    <xdr:clientData/>
  </xdr:twoCellAnchor>
  <xdr:twoCellAnchor>
    <xdr:from>
      <xdr:col>5</xdr:col>
      <xdr:colOff>714375</xdr:colOff>
      <xdr:row>36</xdr:row>
      <xdr:rowOff>142875</xdr:rowOff>
    </xdr:from>
    <xdr:to>
      <xdr:col>6</xdr:col>
      <xdr:colOff>295275</xdr:colOff>
      <xdr:row>36</xdr:row>
      <xdr:rowOff>142875</xdr:rowOff>
    </xdr:to>
    <xdr:sp>
      <xdr:nvSpPr>
        <xdr:cNvPr id="40" name="Line 67"/>
        <xdr:cNvSpPr>
          <a:spLocks/>
        </xdr:cNvSpPr>
      </xdr:nvSpPr>
      <xdr:spPr>
        <a:xfrm>
          <a:off x="4343400" y="6515100"/>
          <a:ext cx="34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36</xdr:row>
      <xdr:rowOff>57150</xdr:rowOff>
    </xdr:from>
    <xdr:to>
      <xdr:col>7</xdr:col>
      <xdr:colOff>0</xdr:colOff>
      <xdr:row>37</xdr:row>
      <xdr:rowOff>104775</xdr:rowOff>
    </xdr:to>
    <xdr:sp>
      <xdr:nvSpPr>
        <xdr:cNvPr id="41" name="Texte 68"/>
        <xdr:cNvSpPr txBox="1">
          <a:spLocks noChangeArrowheads="1"/>
        </xdr:cNvSpPr>
      </xdr:nvSpPr>
      <xdr:spPr>
        <a:xfrm>
          <a:off x="4791075" y="6429375"/>
          <a:ext cx="3619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ys</a:t>
          </a:r>
        </a:p>
      </xdr:txBody>
    </xdr:sp>
    <xdr:clientData/>
  </xdr:twoCellAnchor>
  <xdr:twoCellAnchor>
    <xdr:from>
      <xdr:col>4</xdr:col>
      <xdr:colOff>342900</xdr:colOff>
      <xdr:row>36</xdr:row>
      <xdr:rowOff>123825</xdr:rowOff>
    </xdr:from>
    <xdr:to>
      <xdr:col>5</xdr:col>
      <xdr:colOff>28575</xdr:colOff>
      <xdr:row>36</xdr:row>
      <xdr:rowOff>123825</xdr:rowOff>
    </xdr:to>
    <xdr:sp>
      <xdr:nvSpPr>
        <xdr:cNvPr id="42" name="Line 69"/>
        <xdr:cNvSpPr>
          <a:spLocks/>
        </xdr:cNvSpPr>
      </xdr:nvSpPr>
      <xdr:spPr>
        <a:xfrm>
          <a:off x="3390900" y="6496050"/>
          <a:ext cx="266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28575</xdr:rowOff>
    </xdr:from>
    <xdr:to>
      <xdr:col>5</xdr:col>
      <xdr:colOff>514350</xdr:colOff>
      <xdr:row>37</xdr:row>
      <xdr:rowOff>104775</xdr:rowOff>
    </xdr:to>
    <xdr:sp>
      <xdr:nvSpPr>
        <xdr:cNvPr id="43" name="Texte 70"/>
        <xdr:cNvSpPr txBox="1">
          <a:spLocks noChangeArrowheads="1"/>
        </xdr:cNvSpPr>
      </xdr:nvSpPr>
      <xdr:spPr>
        <a:xfrm>
          <a:off x="3695700" y="6400800"/>
          <a:ext cx="4476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yvs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51</xdr:row>
      <xdr:rowOff>0</xdr:rowOff>
    </xdr:from>
    <xdr:to>
      <xdr:col>3</xdr:col>
      <xdr:colOff>581025</xdr:colOff>
      <xdr:row>51</xdr:row>
      <xdr:rowOff>0</xdr:rowOff>
    </xdr:to>
    <xdr:sp>
      <xdr:nvSpPr>
        <xdr:cNvPr id="1" name="Line 33"/>
        <xdr:cNvSpPr>
          <a:spLocks/>
        </xdr:cNvSpPr>
      </xdr:nvSpPr>
      <xdr:spPr>
        <a:xfrm flipV="1">
          <a:off x="2371725" y="961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" name="Line 155"/>
        <xdr:cNvSpPr>
          <a:spLocks/>
        </xdr:cNvSpPr>
      </xdr:nvSpPr>
      <xdr:spPr>
        <a:xfrm flipH="1">
          <a:off x="762000" y="1932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76200</xdr:rowOff>
    </xdr:from>
    <xdr:to>
      <xdr:col>9</xdr:col>
      <xdr:colOff>523875</xdr:colOff>
      <xdr:row>20</xdr:row>
      <xdr:rowOff>85725</xdr:rowOff>
    </xdr:to>
    <xdr:grpSp>
      <xdr:nvGrpSpPr>
        <xdr:cNvPr id="3" name="Group 248"/>
        <xdr:cNvGrpSpPr>
          <a:grpSpLocks/>
        </xdr:cNvGrpSpPr>
      </xdr:nvGrpSpPr>
      <xdr:grpSpPr>
        <a:xfrm>
          <a:off x="3095625" y="2076450"/>
          <a:ext cx="3543300" cy="1485900"/>
          <a:chOff x="-4658" y="-10149"/>
          <a:chExt cx="14056" cy="156"/>
        </a:xfrm>
        <a:solidFill>
          <a:srgbClr val="FFFFFF"/>
        </a:solidFill>
      </xdr:grpSpPr>
      <xdr:grpSp>
        <xdr:nvGrpSpPr>
          <xdr:cNvPr id="4" name="Group 249"/>
          <xdr:cNvGrpSpPr>
            <a:grpSpLocks/>
          </xdr:cNvGrpSpPr>
        </xdr:nvGrpSpPr>
        <xdr:grpSpPr>
          <a:xfrm>
            <a:off x="-3368" y="-10104"/>
            <a:ext cx="9519" cy="111"/>
            <a:chOff x="5900000" y="5260000"/>
            <a:chExt cx="3400000" cy="2220000"/>
          </a:xfrm>
          <a:solidFill>
            <a:srgbClr val="FFFFFF"/>
          </a:solidFill>
        </xdr:grpSpPr>
        <xdr:sp>
          <xdr:nvSpPr>
            <xdr:cNvPr id="5" name="Dessin 250"/>
            <xdr:cNvSpPr>
              <a:spLocks/>
            </xdr:cNvSpPr>
          </xdr:nvSpPr>
          <xdr:spPr>
            <a:xfrm>
              <a:off x="8760250" y="5260000"/>
              <a:ext cx="539750" cy="1660005"/>
            </a:xfrm>
            <a:custGeom>
              <a:pathLst>
                <a:path h="16384" w="16384">
                  <a:moveTo>
                    <a:pt x="578" y="0"/>
                  </a:moveTo>
                  <a:lnTo>
                    <a:pt x="386" y="0"/>
                  </a:lnTo>
                  <a:lnTo>
                    <a:pt x="0" y="16384"/>
                  </a:lnTo>
                  <a:lnTo>
                    <a:pt x="16384" y="16384"/>
                  </a:lnTo>
                  <a:lnTo>
                    <a:pt x="578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251"/>
            <xdr:cNvSpPr>
              <a:spLocks/>
            </xdr:cNvSpPr>
          </xdr:nvSpPr>
          <xdr:spPr>
            <a:xfrm>
              <a:off x="5979900" y="7119805"/>
              <a:ext cx="2359600" cy="36019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252"/>
            <xdr:cNvSpPr>
              <a:spLocks/>
            </xdr:cNvSpPr>
          </xdr:nvSpPr>
          <xdr:spPr>
            <a:xfrm>
              <a:off x="5900000" y="7019905"/>
              <a:ext cx="79900" cy="199800"/>
            </a:xfrm>
            <a:prstGeom prst="rect">
              <a:avLst/>
            </a:prstGeom>
            <a:pattFill prst="dk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253"/>
            <xdr:cNvSpPr>
              <a:spLocks/>
            </xdr:cNvSpPr>
          </xdr:nvSpPr>
          <xdr:spPr>
            <a:xfrm>
              <a:off x="8340350" y="7039885"/>
              <a:ext cx="60350" cy="179820"/>
            </a:xfrm>
            <a:prstGeom prst="rect">
              <a:avLst/>
            </a:prstGeom>
            <a:pattFill prst="dk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254"/>
            <xdr:cNvSpPr>
              <a:spLocks/>
            </xdr:cNvSpPr>
          </xdr:nvSpPr>
          <xdr:spPr>
            <a:xfrm>
              <a:off x="8659950" y="6920005"/>
              <a:ext cx="199750" cy="59940"/>
            </a:xfrm>
            <a:prstGeom prst="rect">
              <a:avLst/>
            </a:prstGeom>
            <a:pattFill prst="dkVert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" name="Line 255"/>
          <xdr:cNvSpPr>
            <a:spLocks/>
          </xdr:cNvSpPr>
        </xdr:nvSpPr>
        <xdr:spPr>
          <a:xfrm flipV="1">
            <a:off x="-3091" y="-10137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e 256"/>
          <xdr:cNvSpPr txBox="1">
            <a:spLocks noChangeArrowheads="1"/>
          </xdr:cNvSpPr>
        </xdr:nvSpPr>
        <xdr:spPr>
          <a:xfrm>
            <a:off x="7718" y="-10040"/>
            <a:ext cx="1121" cy="1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12" name="Texte 257"/>
          <xdr:cNvSpPr txBox="1">
            <a:spLocks noChangeArrowheads="1"/>
          </xdr:cNvSpPr>
        </xdr:nvSpPr>
        <xdr:spPr>
          <a:xfrm>
            <a:off x="-2697" y="-10149"/>
            <a:ext cx="840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grpSp>
        <xdr:nvGrpSpPr>
          <xdr:cNvPr id="13" name="Group 258"/>
          <xdr:cNvGrpSpPr>
            <a:grpSpLocks/>
          </xdr:cNvGrpSpPr>
        </xdr:nvGrpSpPr>
        <xdr:grpSpPr>
          <a:xfrm>
            <a:off x="-4658" y="-10133"/>
            <a:ext cx="5545" cy="116"/>
            <a:chOff x="5440000" y="4680000"/>
            <a:chExt cx="1980000" cy="2320000"/>
          </a:xfrm>
          <a:solidFill>
            <a:srgbClr val="FFFFFF"/>
          </a:solidFill>
        </xdr:grpSpPr>
        <xdr:sp>
          <xdr:nvSpPr>
            <xdr:cNvPr id="14" name="Texte 259"/>
            <xdr:cNvSpPr txBox="1">
              <a:spLocks noChangeArrowheads="1"/>
            </xdr:cNvSpPr>
          </xdr:nvSpPr>
          <xdr:spPr>
            <a:xfrm>
              <a:off x="5440000" y="5979780"/>
              <a:ext cx="419760" cy="339880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15" name="Texte 260"/>
            <xdr:cNvSpPr txBox="1">
              <a:spLocks noChangeArrowheads="1"/>
            </xdr:cNvSpPr>
          </xdr:nvSpPr>
          <xdr:spPr>
            <a:xfrm>
              <a:off x="6979945" y="4680000"/>
              <a:ext cx="299970" cy="339880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grpSp>
          <xdr:nvGrpSpPr>
            <xdr:cNvPr id="16" name="Group 261"/>
            <xdr:cNvGrpSpPr>
              <a:grpSpLocks/>
            </xdr:cNvGrpSpPr>
          </xdr:nvGrpSpPr>
          <xdr:grpSpPr>
            <a:xfrm>
              <a:off x="5720170" y="5179960"/>
              <a:ext cx="240075" cy="1820040"/>
              <a:chOff x="5720000" y="5180000"/>
              <a:chExt cx="240000" cy="1820000"/>
            </a:xfrm>
            <a:solidFill>
              <a:srgbClr val="FFFFFF"/>
            </a:solidFill>
          </xdr:grpSpPr>
          <xdr:sp>
            <xdr:nvSpPr>
              <xdr:cNvPr id="17" name="Texte 262"/>
              <xdr:cNvSpPr txBox="1">
                <a:spLocks noChangeArrowheads="1"/>
              </xdr:cNvSpPr>
            </xdr:nvSpPr>
            <xdr:spPr>
              <a:xfrm>
                <a:off x="5760020" y="5180000"/>
                <a:ext cx="199980" cy="2002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</a:t>
                </a:r>
              </a:p>
            </xdr:txBody>
          </xdr:sp>
          <xdr:sp>
            <xdr:nvSpPr>
              <xdr:cNvPr id="18" name="Texte 263"/>
              <xdr:cNvSpPr txBox="1">
                <a:spLocks noChangeArrowheads="1"/>
              </xdr:cNvSpPr>
            </xdr:nvSpPr>
            <xdr:spPr>
              <a:xfrm>
                <a:off x="5739980" y="5800165"/>
                <a:ext cx="220020" cy="239785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11</a:t>
                </a:r>
              </a:p>
            </xdr:txBody>
          </xdr:sp>
          <xdr:sp>
            <xdr:nvSpPr>
              <xdr:cNvPr id="19" name="Texte 264"/>
              <xdr:cNvSpPr txBox="1">
                <a:spLocks noChangeArrowheads="1"/>
              </xdr:cNvSpPr>
            </xdr:nvSpPr>
            <xdr:spPr>
              <a:xfrm>
                <a:off x="5739980" y="6799800"/>
                <a:ext cx="220020" cy="2002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23</a:t>
                </a:r>
              </a:p>
            </xdr:txBody>
          </xdr:sp>
          <xdr:sp>
            <xdr:nvSpPr>
              <xdr:cNvPr id="20" name="Texte 265"/>
              <xdr:cNvSpPr txBox="1">
                <a:spLocks noChangeArrowheads="1"/>
              </xdr:cNvSpPr>
            </xdr:nvSpPr>
            <xdr:spPr>
              <a:xfrm>
                <a:off x="5720000" y="6479935"/>
                <a:ext cx="240000" cy="2002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19</a:t>
                </a:r>
              </a:p>
            </xdr:txBody>
          </xdr:sp>
          <xdr:sp>
            <xdr:nvSpPr>
              <xdr:cNvPr id="21" name="Texte 266"/>
              <xdr:cNvSpPr txBox="1">
                <a:spLocks noChangeArrowheads="1"/>
              </xdr:cNvSpPr>
            </xdr:nvSpPr>
            <xdr:spPr>
              <a:xfrm>
                <a:off x="5720000" y="6180090"/>
                <a:ext cx="240000" cy="2002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15</a:t>
                </a:r>
              </a:p>
            </xdr:txBody>
          </xdr:sp>
          <xdr:sp>
            <xdr:nvSpPr>
              <xdr:cNvPr id="22" name="Texte 267"/>
              <xdr:cNvSpPr txBox="1">
                <a:spLocks noChangeArrowheads="1"/>
              </xdr:cNvSpPr>
            </xdr:nvSpPr>
            <xdr:spPr>
              <a:xfrm>
                <a:off x="5780000" y="5499865"/>
                <a:ext cx="180000" cy="2002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7</a:t>
                </a:r>
              </a:p>
            </xdr:txBody>
          </xdr:sp>
        </xdr:grpSp>
        <xdr:grpSp>
          <xdr:nvGrpSpPr>
            <xdr:cNvPr id="23" name="Group 268"/>
            <xdr:cNvGrpSpPr>
              <a:grpSpLocks/>
            </xdr:cNvGrpSpPr>
          </xdr:nvGrpSpPr>
          <xdr:grpSpPr>
            <a:xfrm>
              <a:off x="7139830" y="5059900"/>
              <a:ext cx="280170" cy="1879780"/>
              <a:chOff x="7140000" y="5060000"/>
              <a:chExt cx="280000" cy="1880000"/>
            </a:xfrm>
            <a:solidFill>
              <a:srgbClr val="FFFFFF"/>
            </a:solidFill>
          </xdr:grpSpPr>
          <xdr:sp>
            <xdr:nvSpPr>
              <xdr:cNvPr id="24" name="Texte 269"/>
              <xdr:cNvSpPr txBox="1">
                <a:spLocks noChangeArrowheads="1"/>
              </xdr:cNvSpPr>
            </xdr:nvSpPr>
            <xdr:spPr>
              <a:xfrm>
                <a:off x="7179970" y="5060000"/>
                <a:ext cx="220010" cy="24017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6</a:t>
                </a:r>
              </a:p>
            </xdr:txBody>
          </xdr:sp>
          <xdr:sp>
            <xdr:nvSpPr>
              <xdr:cNvPr id="25" name="Texte 270"/>
              <xdr:cNvSpPr txBox="1">
                <a:spLocks noChangeArrowheads="1"/>
              </xdr:cNvSpPr>
            </xdr:nvSpPr>
            <xdr:spPr>
              <a:xfrm>
                <a:off x="7160020" y="5700140"/>
                <a:ext cx="259980" cy="28012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14</a:t>
                </a:r>
              </a:p>
            </xdr:txBody>
          </xdr:sp>
          <xdr:sp>
            <xdr:nvSpPr>
              <xdr:cNvPr id="26" name="Texte 271"/>
              <xdr:cNvSpPr txBox="1">
                <a:spLocks noChangeArrowheads="1"/>
              </xdr:cNvSpPr>
            </xdr:nvSpPr>
            <xdr:spPr>
              <a:xfrm>
                <a:off x="7160020" y="6680090"/>
                <a:ext cx="259980" cy="25991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28</a:t>
                </a:r>
              </a:p>
            </xdr:txBody>
          </xdr:sp>
          <xdr:sp>
            <xdr:nvSpPr>
              <xdr:cNvPr id="27" name="Texte 272"/>
              <xdr:cNvSpPr txBox="1">
                <a:spLocks noChangeArrowheads="1"/>
              </xdr:cNvSpPr>
            </xdr:nvSpPr>
            <xdr:spPr>
              <a:xfrm>
                <a:off x="7140000" y="6360020"/>
                <a:ext cx="280000" cy="24017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22</a:t>
                </a:r>
              </a:p>
            </xdr:txBody>
          </xdr:sp>
          <xdr:sp>
            <xdr:nvSpPr>
              <xdr:cNvPr id="28" name="Texte 273"/>
              <xdr:cNvSpPr txBox="1">
                <a:spLocks noChangeArrowheads="1"/>
              </xdr:cNvSpPr>
            </xdr:nvSpPr>
            <xdr:spPr>
              <a:xfrm>
                <a:off x="7140000" y="6060160"/>
                <a:ext cx="280000" cy="24017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18</a:t>
                </a:r>
              </a:p>
            </xdr:txBody>
          </xdr:sp>
          <xdr:sp>
            <xdr:nvSpPr>
              <xdr:cNvPr id="29" name="Texte 274"/>
              <xdr:cNvSpPr txBox="1">
                <a:spLocks noChangeArrowheads="1"/>
              </xdr:cNvSpPr>
            </xdr:nvSpPr>
            <xdr:spPr>
              <a:xfrm>
                <a:off x="7140000" y="5380070"/>
                <a:ext cx="280000" cy="24017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10</a:t>
                </a:r>
              </a:p>
            </xdr:txBody>
          </xdr:sp>
        </xdr:grpSp>
      </xdr:grpSp>
      <xdr:grpSp>
        <xdr:nvGrpSpPr>
          <xdr:cNvPr id="30" name="Group 275"/>
          <xdr:cNvGrpSpPr>
            <a:grpSpLocks/>
          </xdr:cNvGrpSpPr>
        </xdr:nvGrpSpPr>
        <xdr:grpSpPr>
          <a:xfrm>
            <a:off x="-3091" y="-10104"/>
            <a:ext cx="6554" cy="83"/>
            <a:chOff x="6000000" y="5260000"/>
            <a:chExt cx="2340000" cy="1660000"/>
          </a:xfrm>
          <a:solidFill>
            <a:srgbClr val="FFFFFF"/>
          </a:solidFill>
        </xdr:grpSpPr>
        <xdr:grpSp>
          <xdr:nvGrpSpPr>
            <xdr:cNvPr id="31" name="Group 276"/>
            <xdr:cNvGrpSpPr>
              <a:grpSpLocks/>
            </xdr:cNvGrpSpPr>
          </xdr:nvGrpSpPr>
          <xdr:grpSpPr>
            <a:xfrm>
              <a:off x="6000000" y="5260000"/>
              <a:ext cx="2340000" cy="1660000"/>
              <a:chOff x="6000000" y="5260000"/>
              <a:chExt cx="2340000" cy="1660000"/>
            </a:xfrm>
            <a:solidFill>
              <a:srgbClr val="FFFFFF"/>
            </a:solidFill>
          </xdr:grpSpPr>
          <xdr:sp>
            <xdr:nvSpPr>
              <xdr:cNvPr id="32" name="Rectangle 277"/>
              <xdr:cNvSpPr>
                <a:spLocks/>
              </xdr:cNvSpPr>
            </xdr:nvSpPr>
            <xdr:spPr>
              <a:xfrm>
                <a:off x="6000000" y="5260000"/>
                <a:ext cx="2340000" cy="31996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Rectangle 278"/>
              <xdr:cNvSpPr>
                <a:spLocks/>
              </xdr:cNvSpPr>
            </xdr:nvSpPr>
            <xdr:spPr>
              <a:xfrm>
                <a:off x="6000000" y="6580115"/>
                <a:ext cx="2340000" cy="33988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Rectangle 279"/>
              <xdr:cNvSpPr>
                <a:spLocks/>
              </xdr:cNvSpPr>
            </xdr:nvSpPr>
            <xdr:spPr>
              <a:xfrm>
                <a:off x="6000000" y="6260150"/>
                <a:ext cx="2340000" cy="31996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Rectangle 280"/>
              <xdr:cNvSpPr>
                <a:spLocks/>
              </xdr:cNvSpPr>
            </xdr:nvSpPr>
            <xdr:spPr>
              <a:xfrm>
                <a:off x="6000000" y="5940185"/>
                <a:ext cx="2340000" cy="31996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Rectangle 281"/>
              <xdr:cNvSpPr>
                <a:spLocks/>
              </xdr:cNvSpPr>
            </xdr:nvSpPr>
            <xdr:spPr>
              <a:xfrm>
                <a:off x="6000000" y="5579965"/>
                <a:ext cx="2340000" cy="35980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7" name="Group 282"/>
            <xdr:cNvGrpSpPr>
              <a:grpSpLocks/>
            </xdr:cNvGrpSpPr>
          </xdr:nvGrpSpPr>
          <xdr:grpSpPr>
            <a:xfrm>
              <a:off x="6000000" y="5260000"/>
              <a:ext cx="1160055" cy="1660000"/>
              <a:chOff x="6000000" y="5260000"/>
              <a:chExt cx="1160000" cy="1660000"/>
            </a:xfrm>
            <a:solidFill>
              <a:srgbClr val="FFFFFF"/>
            </a:solidFill>
          </xdr:grpSpPr>
          <xdr:sp>
            <xdr:nvSpPr>
              <xdr:cNvPr id="38" name="Rectangle 283"/>
              <xdr:cNvSpPr>
                <a:spLocks/>
              </xdr:cNvSpPr>
            </xdr:nvSpPr>
            <xdr:spPr>
              <a:xfrm>
                <a:off x="6000000" y="5260000"/>
                <a:ext cx="24012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Rectangle 284"/>
              <xdr:cNvSpPr>
                <a:spLocks/>
              </xdr:cNvSpPr>
            </xdr:nvSpPr>
            <xdr:spPr>
              <a:xfrm>
                <a:off x="6700060" y="5260000"/>
                <a:ext cx="24012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Rectangle 285"/>
              <xdr:cNvSpPr>
                <a:spLocks/>
              </xdr:cNvSpPr>
            </xdr:nvSpPr>
            <xdr:spPr>
              <a:xfrm>
                <a:off x="6459940" y="5260000"/>
                <a:ext cx="24012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Rectangle 286"/>
              <xdr:cNvSpPr>
                <a:spLocks/>
              </xdr:cNvSpPr>
            </xdr:nvSpPr>
            <xdr:spPr>
              <a:xfrm>
                <a:off x="6240120" y="5260000"/>
                <a:ext cx="22011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Rectangle 287"/>
              <xdr:cNvSpPr>
                <a:spLocks/>
              </xdr:cNvSpPr>
            </xdr:nvSpPr>
            <xdr:spPr>
              <a:xfrm>
                <a:off x="6939890" y="5260000"/>
                <a:ext cx="22011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3" name="Group 288"/>
            <xdr:cNvGrpSpPr>
              <a:grpSpLocks/>
            </xdr:cNvGrpSpPr>
          </xdr:nvGrpSpPr>
          <xdr:grpSpPr>
            <a:xfrm>
              <a:off x="7160055" y="5260000"/>
              <a:ext cx="1179945" cy="1660000"/>
              <a:chOff x="7160000" y="5260000"/>
              <a:chExt cx="1180000" cy="1660000"/>
            </a:xfrm>
            <a:solidFill>
              <a:srgbClr val="FFFFFF"/>
            </a:solidFill>
          </xdr:grpSpPr>
          <xdr:sp>
            <xdr:nvSpPr>
              <xdr:cNvPr id="44" name="Rectangle 289"/>
              <xdr:cNvSpPr>
                <a:spLocks/>
              </xdr:cNvSpPr>
            </xdr:nvSpPr>
            <xdr:spPr>
              <a:xfrm>
                <a:off x="7160000" y="5260000"/>
                <a:ext cx="24013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Rectangle 290"/>
              <xdr:cNvSpPr>
                <a:spLocks/>
              </xdr:cNvSpPr>
            </xdr:nvSpPr>
            <xdr:spPr>
              <a:xfrm>
                <a:off x="7860035" y="5260000"/>
                <a:ext cx="24013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Rectangle 291"/>
              <xdr:cNvSpPr>
                <a:spLocks/>
              </xdr:cNvSpPr>
            </xdr:nvSpPr>
            <xdr:spPr>
              <a:xfrm>
                <a:off x="7639965" y="5260000"/>
                <a:ext cx="22007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" name="Rectangle 292"/>
              <xdr:cNvSpPr>
                <a:spLocks/>
              </xdr:cNvSpPr>
            </xdr:nvSpPr>
            <xdr:spPr>
              <a:xfrm>
                <a:off x="7400130" y="5260000"/>
                <a:ext cx="24013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Rectangle 293"/>
              <xdr:cNvSpPr>
                <a:spLocks/>
              </xdr:cNvSpPr>
            </xdr:nvSpPr>
            <xdr:spPr>
              <a:xfrm>
                <a:off x="8099870" y="5260000"/>
                <a:ext cx="240130" cy="166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9" name="Line 294"/>
          <xdr:cNvSpPr>
            <a:spLocks/>
          </xdr:cNvSpPr>
        </xdr:nvSpPr>
        <xdr:spPr>
          <a:xfrm>
            <a:off x="6541" y="-10021"/>
            <a:ext cx="28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53</xdr:row>
      <xdr:rowOff>57150</xdr:rowOff>
    </xdr:from>
    <xdr:to>
      <xdr:col>9</xdr:col>
      <xdr:colOff>523875</xdr:colOff>
      <xdr:row>62</xdr:row>
      <xdr:rowOff>66675</xdr:rowOff>
    </xdr:to>
    <xdr:grpSp>
      <xdr:nvGrpSpPr>
        <xdr:cNvPr id="50" name="Group 295"/>
        <xdr:cNvGrpSpPr>
          <a:grpSpLocks/>
        </xdr:cNvGrpSpPr>
      </xdr:nvGrpSpPr>
      <xdr:grpSpPr>
        <a:xfrm>
          <a:off x="3095625" y="9991725"/>
          <a:ext cx="3543300" cy="1485900"/>
          <a:chOff x="-4658" y="-45047"/>
          <a:chExt cx="14056" cy="156"/>
        </a:xfrm>
        <a:solidFill>
          <a:srgbClr val="FFFFFF"/>
        </a:solidFill>
      </xdr:grpSpPr>
      <xdr:grpSp>
        <xdr:nvGrpSpPr>
          <xdr:cNvPr id="51" name="Group 296"/>
          <xdr:cNvGrpSpPr>
            <a:grpSpLocks/>
          </xdr:cNvGrpSpPr>
        </xdr:nvGrpSpPr>
        <xdr:grpSpPr>
          <a:xfrm>
            <a:off x="-3368" y="-45002"/>
            <a:ext cx="9519" cy="111"/>
            <a:chOff x="5900000" y="21880000"/>
            <a:chExt cx="3400000" cy="2220000"/>
          </a:xfrm>
          <a:solidFill>
            <a:srgbClr val="FFFFFF"/>
          </a:solidFill>
        </xdr:grpSpPr>
        <xdr:sp>
          <xdr:nvSpPr>
            <xdr:cNvPr id="52" name="Dessin 297"/>
            <xdr:cNvSpPr>
              <a:spLocks/>
            </xdr:cNvSpPr>
          </xdr:nvSpPr>
          <xdr:spPr>
            <a:xfrm>
              <a:off x="8760250" y="21880000"/>
              <a:ext cx="539750" cy="1679985"/>
            </a:xfrm>
            <a:custGeom>
              <a:pathLst>
                <a:path h="16384" w="16384">
                  <a:moveTo>
                    <a:pt x="578" y="0"/>
                  </a:moveTo>
                  <a:lnTo>
                    <a:pt x="386" y="0"/>
                  </a:lnTo>
                  <a:lnTo>
                    <a:pt x="0" y="16384"/>
                  </a:lnTo>
                  <a:lnTo>
                    <a:pt x="16384" y="16384"/>
                  </a:lnTo>
                  <a:lnTo>
                    <a:pt x="578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Rectangle 298"/>
            <xdr:cNvSpPr>
              <a:spLocks/>
            </xdr:cNvSpPr>
          </xdr:nvSpPr>
          <xdr:spPr>
            <a:xfrm>
              <a:off x="5979900" y="23759785"/>
              <a:ext cx="2359600" cy="34021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Rectangle 299"/>
            <xdr:cNvSpPr>
              <a:spLocks/>
            </xdr:cNvSpPr>
          </xdr:nvSpPr>
          <xdr:spPr>
            <a:xfrm>
              <a:off x="5900000" y="23659885"/>
              <a:ext cx="79900" cy="179820"/>
            </a:xfrm>
            <a:prstGeom prst="rect">
              <a:avLst/>
            </a:prstGeom>
            <a:pattFill prst="dk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Rectangle 300"/>
            <xdr:cNvSpPr>
              <a:spLocks/>
            </xdr:cNvSpPr>
          </xdr:nvSpPr>
          <xdr:spPr>
            <a:xfrm>
              <a:off x="8340350" y="23679865"/>
              <a:ext cx="60350" cy="159840"/>
            </a:xfrm>
            <a:prstGeom prst="rect">
              <a:avLst/>
            </a:prstGeom>
            <a:pattFill prst="dk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Rectangle 301"/>
            <xdr:cNvSpPr>
              <a:spLocks/>
            </xdr:cNvSpPr>
          </xdr:nvSpPr>
          <xdr:spPr>
            <a:xfrm>
              <a:off x="8659950" y="23559985"/>
              <a:ext cx="199750" cy="59940"/>
            </a:xfrm>
            <a:prstGeom prst="rect">
              <a:avLst/>
            </a:prstGeom>
            <a:pattFill prst="dkVert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7" name="Line 302"/>
          <xdr:cNvSpPr>
            <a:spLocks/>
          </xdr:cNvSpPr>
        </xdr:nvSpPr>
        <xdr:spPr>
          <a:xfrm flipV="1">
            <a:off x="-3091" y="-45035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Texte 303"/>
          <xdr:cNvSpPr txBox="1">
            <a:spLocks noChangeArrowheads="1"/>
          </xdr:cNvSpPr>
        </xdr:nvSpPr>
        <xdr:spPr>
          <a:xfrm>
            <a:off x="7718" y="-44936"/>
            <a:ext cx="1121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59" name="Texte 304"/>
          <xdr:cNvSpPr txBox="1">
            <a:spLocks noChangeArrowheads="1"/>
          </xdr:cNvSpPr>
        </xdr:nvSpPr>
        <xdr:spPr>
          <a:xfrm>
            <a:off x="-2697" y="-45047"/>
            <a:ext cx="840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grpSp>
        <xdr:nvGrpSpPr>
          <xdr:cNvPr id="60" name="Group 305"/>
          <xdr:cNvGrpSpPr>
            <a:grpSpLocks/>
          </xdr:cNvGrpSpPr>
        </xdr:nvGrpSpPr>
        <xdr:grpSpPr>
          <a:xfrm>
            <a:off x="-4658" y="-45031"/>
            <a:ext cx="5545" cy="117"/>
            <a:chOff x="5440000" y="21300000"/>
            <a:chExt cx="1980000" cy="2340000"/>
          </a:xfrm>
          <a:solidFill>
            <a:srgbClr val="FFFFFF"/>
          </a:solidFill>
        </xdr:grpSpPr>
        <xdr:sp>
          <xdr:nvSpPr>
            <xdr:cNvPr id="61" name="Texte 306"/>
            <xdr:cNvSpPr txBox="1">
              <a:spLocks noChangeArrowheads="1"/>
            </xdr:cNvSpPr>
          </xdr:nvSpPr>
          <xdr:spPr>
            <a:xfrm>
              <a:off x="5440000" y="22619760"/>
              <a:ext cx="419760" cy="33988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62" name="Texte 307"/>
            <xdr:cNvSpPr txBox="1">
              <a:spLocks noChangeArrowheads="1"/>
            </xdr:cNvSpPr>
          </xdr:nvSpPr>
          <xdr:spPr>
            <a:xfrm>
              <a:off x="6979945" y="21300000"/>
              <a:ext cx="299970" cy="33988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grpSp>
          <xdr:nvGrpSpPr>
            <xdr:cNvPr id="63" name="Group 308"/>
            <xdr:cNvGrpSpPr>
              <a:grpSpLocks/>
            </xdr:cNvGrpSpPr>
          </xdr:nvGrpSpPr>
          <xdr:grpSpPr>
            <a:xfrm>
              <a:off x="5720170" y="21800175"/>
              <a:ext cx="240075" cy="1839825"/>
              <a:chOff x="5720000" y="21800000"/>
              <a:chExt cx="240000" cy="1840000"/>
            </a:xfrm>
            <a:solidFill>
              <a:srgbClr val="FFFFFF"/>
            </a:solidFill>
          </xdr:grpSpPr>
          <xdr:sp>
            <xdr:nvSpPr>
              <xdr:cNvPr id="64" name="Texte 309"/>
              <xdr:cNvSpPr txBox="1">
                <a:spLocks noChangeArrowheads="1"/>
              </xdr:cNvSpPr>
            </xdr:nvSpPr>
            <xdr:spPr>
              <a:xfrm>
                <a:off x="5760020" y="21800000"/>
                <a:ext cx="199980" cy="2001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</a:t>
                </a:r>
              </a:p>
            </xdr:txBody>
          </xdr:sp>
          <xdr:sp>
            <xdr:nvSpPr>
              <xdr:cNvPr id="65" name="Texte 310"/>
              <xdr:cNvSpPr txBox="1">
                <a:spLocks noChangeArrowheads="1"/>
              </xdr:cNvSpPr>
            </xdr:nvSpPr>
            <xdr:spPr>
              <a:xfrm>
                <a:off x="5739980" y="22420080"/>
                <a:ext cx="220020" cy="2599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11</a:t>
                </a:r>
              </a:p>
            </xdr:txBody>
          </xdr:sp>
          <xdr:sp>
            <xdr:nvSpPr>
              <xdr:cNvPr id="66" name="Texte 311"/>
              <xdr:cNvSpPr txBox="1">
                <a:spLocks noChangeArrowheads="1"/>
              </xdr:cNvSpPr>
            </xdr:nvSpPr>
            <xdr:spPr>
              <a:xfrm>
                <a:off x="5739980" y="23439900"/>
                <a:ext cx="220020" cy="2001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23</a:t>
                </a:r>
              </a:p>
            </xdr:txBody>
          </xdr:sp>
          <xdr:sp>
            <xdr:nvSpPr>
              <xdr:cNvPr id="67" name="Texte 312"/>
              <xdr:cNvSpPr txBox="1">
                <a:spLocks noChangeArrowheads="1"/>
              </xdr:cNvSpPr>
            </xdr:nvSpPr>
            <xdr:spPr>
              <a:xfrm>
                <a:off x="5720000" y="23139980"/>
                <a:ext cx="240000" cy="2001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19</a:t>
                </a:r>
              </a:p>
            </xdr:txBody>
          </xdr:sp>
          <xdr:sp>
            <xdr:nvSpPr>
              <xdr:cNvPr id="68" name="Texte 313"/>
              <xdr:cNvSpPr txBox="1">
                <a:spLocks noChangeArrowheads="1"/>
              </xdr:cNvSpPr>
            </xdr:nvSpPr>
            <xdr:spPr>
              <a:xfrm>
                <a:off x="5720000" y="22819820"/>
                <a:ext cx="240000" cy="2001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15</a:t>
                </a:r>
              </a:p>
            </xdr:txBody>
          </xdr:sp>
          <xdr:sp>
            <xdr:nvSpPr>
              <xdr:cNvPr id="69" name="Texte 314"/>
              <xdr:cNvSpPr txBox="1">
                <a:spLocks noChangeArrowheads="1"/>
              </xdr:cNvSpPr>
            </xdr:nvSpPr>
            <xdr:spPr>
              <a:xfrm>
                <a:off x="5780000" y="22120160"/>
                <a:ext cx="180000" cy="2001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7</a:t>
                </a:r>
              </a:p>
            </xdr:txBody>
          </xdr:sp>
        </xdr:grpSp>
        <xdr:grpSp>
          <xdr:nvGrpSpPr>
            <xdr:cNvPr id="70" name="Group 315"/>
            <xdr:cNvGrpSpPr>
              <a:grpSpLocks/>
            </xdr:cNvGrpSpPr>
          </xdr:nvGrpSpPr>
          <xdr:grpSpPr>
            <a:xfrm>
              <a:off x="7139830" y="21680250"/>
              <a:ext cx="280170" cy="1900080"/>
              <a:chOff x="7140000" y="21680000"/>
              <a:chExt cx="280000" cy="1900000"/>
            </a:xfrm>
            <a:solidFill>
              <a:srgbClr val="FFFFFF"/>
            </a:solidFill>
          </xdr:grpSpPr>
          <xdr:sp>
            <xdr:nvSpPr>
              <xdr:cNvPr id="71" name="Texte 316"/>
              <xdr:cNvSpPr txBox="1">
                <a:spLocks noChangeArrowheads="1"/>
              </xdr:cNvSpPr>
            </xdr:nvSpPr>
            <xdr:spPr>
              <a:xfrm>
                <a:off x="7179970" y="21680000"/>
                <a:ext cx="220010" cy="239875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6</a:t>
                </a:r>
              </a:p>
            </xdr:txBody>
          </xdr:sp>
          <xdr:sp>
            <xdr:nvSpPr>
              <xdr:cNvPr id="72" name="Texte 317"/>
              <xdr:cNvSpPr txBox="1">
                <a:spLocks noChangeArrowheads="1"/>
              </xdr:cNvSpPr>
            </xdr:nvSpPr>
            <xdr:spPr>
              <a:xfrm>
                <a:off x="7160020" y="22319825"/>
                <a:ext cx="259980" cy="300200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14</a:t>
                </a:r>
              </a:p>
            </xdr:txBody>
          </xdr:sp>
          <xdr:sp>
            <xdr:nvSpPr>
              <xdr:cNvPr id="73" name="Texte 318"/>
              <xdr:cNvSpPr txBox="1">
                <a:spLocks noChangeArrowheads="1"/>
              </xdr:cNvSpPr>
            </xdr:nvSpPr>
            <xdr:spPr>
              <a:xfrm>
                <a:off x="7160020" y="23340125"/>
                <a:ext cx="259980" cy="239875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28</a:t>
                </a:r>
              </a:p>
            </xdr:txBody>
          </xdr:sp>
          <xdr:sp>
            <xdr:nvSpPr>
              <xdr:cNvPr id="74" name="Texte 319"/>
              <xdr:cNvSpPr txBox="1">
                <a:spLocks noChangeArrowheads="1"/>
              </xdr:cNvSpPr>
            </xdr:nvSpPr>
            <xdr:spPr>
              <a:xfrm>
                <a:off x="7140000" y="23000025"/>
                <a:ext cx="280000" cy="279775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22</a:t>
                </a:r>
              </a:p>
            </xdr:txBody>
          </xdr:sp>
          <xdr:sp>
            <xdr:nvSpPr>
              <xdr:cNvPr id="75" name="Texte 320"/>
              <xdr:cNvSpPr txBox="1">
                <a:spLocks noChangeArrowheads="1"/>
              </xdr:cNvSpPr>
            </xdr:nvSpPr>
            <xdr:spPr>
              <a:xfrm>
                <a:off x="7140000" y="22699825"/>
                <a:ext cx="280000" cy="239875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18</a:t>
                </a:r>
              </a:p>
            </xdr:txBody>
          </xdr:sp>
          <xdr:sp>
            <xdr:nvSpPr>
              <xdr:cNvPr id="76" name="Texte 321"/>
              <xdr:cNvSpPr txBox="1">
                <a:spLocks noChangeArrowheads="1"/>
              </xdr:cNvSpPr>
            </xdr:nvSpPr>
            <xdr:spPr>
              <a:xfrm>
                <a:off x="7140000" y="22000150"/>
                <a:ext cx="280000" cy="239875"/>
              </a:xfrm>
              <a:prstGeom prst="rect">
                <a:avLst/>
              </a:prstGeom>
              <a:solidFill>
                <a:srgbClr val="FFFFFF"/>
              </a:solidFill>
              <a:ln w="1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10</a:t>
                </a:r>
              </a:p>
            </xdr:txBody>
          </xdr:sp>
        </xdr:grpSp>
      </xdr:grpSp>
      <xdr:grpSp>
        <xdr:nvGrpSpPr>
          <xdr:cNvPr id="77" name="Group 322"/>
          <xdr:cNvGrpSpPr>
            <a:grpSpLocks/>
          </xdr:cNvGrpSpPr>
        </xdr:nvGrpSpPr>
        <xdr:grpSpPr>
          <a:xfrm>
            <a:off x="-3091" y="-45002"/>
            <a:ext cx="6554" cy="84"/>
            <a:chOff x="6000000" y="21880000"/>
            <a:chExt cx="2340000" cy="1680000"/>
          </a:xfrm>
          <a:solidFill>
            <a:srgbClr val="FFFFFF"/>
          </a:solidFill>
        </xdr:grpSpPr>
        <xdr:grpSp>
          <xdr:nvGrpSpPr>
            <xdr:cNvPr id="78" name="Group 323"/>
            <xdr:cNvGrpSpPr>
              <a:grpSpLocks/>
            </xdr:cNvGrpSpPr>
          </xdr:nvGrpSpPr>
          <xdr:grpSpPr>
            <a:xfrm>
              <a:off x="6000000" y="21880000"/>
              <a:ext cx="2340000" cy="1680000"/>
              <a:chOff x="6000000" y="21880000"/>
              <a:chExt cx="2340000" cy="1680000"/>
            </a:xfrm>
            <a:solidFill>
              <a:srgbClr val="FFFFFF"/>
            </a:solidFill>
          </xdr:grpSpPr>
          <xdr:sp>
            <xdr:nvSpPr>
              <xdr:cNvPr id="79" name="Rectangle 324"/>
              <xdr:cNvSpPr>
                <a:spLocks/>
              </xdr:cNvSpPr>
            </xdr:nvSpPr>
            <xdr:spPr>
              <a:xfrm>
                <a:off x="6000000" y="21880000"/>
                <a:ext cx="2340000" cy="32004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0" name="Rectangle 325"/>
              <xdr:cNvSpPr>
                <a:spLocks/>
              </xdr:cNvSpPr>
            </xdr:nvSpPr>
            <xdr:spPr>
              <a:xfrm>
                <a:off x="6000000" y="23239960"/>
                <a:ext cx="2340000" cy="32004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1" name="Rectangle 326"/>
              <xdr:cNvSpPr>
                <a:spLocks/>
              </xdr:cNvSpPr>
            </xdr:nvSpPr>
            <xdr:spPr>
              <a:xfrm>
                <a:off x="6000000" y="22900180"/>
                <a:ext cx="2340000" cy="3402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2" name="Rectangle 327"/>
              <xdr:cNvSpPr>
                <a:spLocks/>
              </xdr:cNvSpPr>
            </xdr:nvSpPr>
            <xdr:spPr>
              <a:xfrm>
                <a:off x="6000000" y="22580140"/>
                <a:ext cx="2340000" cy="32004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3" name="Rectangle 328"/>
              <xdr:cNvSpPr>
                <a:spLocks/>
              </xdr:cNvSpPr>
            </xdr:nvSpPr>
            <xdr:spPr>
              <a:xfrm>
                <a:off x="6000000" y="22200040"/>
                <a:ext cx="2340000" cy="3801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84" name="Group 329"/>
            <xdr:cNvGrpSpPr>
              <a:grpSpLocks/>
            </xdr:cNvGrpSpPr>
          </xdr:nvGrpSpPr>
          <xdr:grpSpPr>
            <a:xfrm>
              <a:off x="6000000" y="21880000"/>
              <a:ext cx="1160055" cy="1680000"/>
              <a:chOff x="6000000" y="21880000"/>
              <a:chExt cx="1160000" cy="1680000"/>
            </a:xfrm>
            <a:solidFill>
              <a:srgbClr val="FFFFFF"/>
            </a:solidFill>
          </xdr:grpSpPr>
          <xdr:sp>
            <xdr:nvSpPr>
              <xdr:cNvPr id="85" name="Rectangle 330"/>
              <xdr:cNvSpPr>
                <a:spLocks/>
              </xdr:cNvSpPr>
            </xdr:nvSpPr>
            <xdr:spPr>
              <a:xfrm>
                <a:off x="6000000" y="21880000"/>
                <a:ext cx="24012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Rectangle 331"/>
              <xdr:cNvSpPr>
                <a:spLocks/>
              </xdr:cNvSpPr>
            </xdr:nvSpPr>
            <xdr:spPr>
              <a:xfrm>
                <a:off x="6700060" y="21880000"/>
                <a:ext cx="24012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Rectangle 332"/>
              <xdr:cNvSpPr>
                <a:spLocks/>
              </xdr:cNvSpPr>
            </xdr:nvSpPr>
            <xdr:spPr>
              <a:xfrm>
                <a:off x="6459940" y="21880000"/>
                <a:ext cx="24012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" name="Rectangle 333"/>
              <xdr:cNvSpPr>
                <a:spLocks/>
              </xdr:cNvSpPr>
            </xdr:nvSpPr>
            <xdr:spPr>
              <a:xfrm>
                <a:off x="6240120" y="21880000"/>
                <a:ext cx="22011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" name="Rectangle 334"/>
              <xdr:cNvSpPr>
                <a:spLocks/>
              </xdr:cNvSpPr>
            </xdr:nvSpPr>
            <xdr:spPr>
              <a:xfrm>
                <a:off x="6939890" y="21880000"/>
                <a:ext cx="22011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0" name="Group 335"/>
            <xdr:cNvGrpSpPr>
              <a:grpSpLocks/>
            </xdr:cNvGrpSpPr>
          </xdr:nvGrpSpPr>
          <xdr:grpSpPr>
            <a:xfrm>
              <a:off x="7160055" y="21880000"/>
              <a:ext cx="1179945" cy="1680000"/>
              <a:chOff x="7160000" y="21880000"/>
              <a:chExt cx="1180000" cy="1680000"/>
            </a:xfrm>
            <a:solidFill>
              <a:srgbClr val="FFFFFF"/>
            </a:solidFill>
          </xdr:grpSpPr>
          <xdr:sp>
            <xdr:nvSpPr>
              <xdr:cNvPr id="91" name="Rectangle 336"/>
              <xdr:cNvSpPr>
                <a:spLocks/>
              </xdr:cNvSpPr>
            </xdr:nvSpPr>
            <xdr:spPr>
              <a:xfrm>
                <a:off x="7160000" y="21880000"/>
                <a:ext cx="24013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" name="Rectangle 337"/>
              <xdr:cNvSpPr>
                <a:spLocks/>
              </xdr:cNvSpPr>
            </xdr:nvSpPr>
            <xdr:spPr>
              <a:xfrm>
                <a:off x="7860035" y="21880000"/>
                <a:ext cx="24013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" name="Rectangle 338"/>
              <xdr:cNvSpPr>
                <a:spLocks/>
              </xdr:cNvSpPr>
            </xdr:nvSpPr>
            <xdr:spPr>
              <a:xfrm>
                <a:off x="7639965" y="21880000"/>
                <a:ext cx="22007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Rectangle 339"/>
              <xdr:cNvSpPr>
                <a:spLocks/>
              </xdr:cNvSpPr>
            </xdr:nvSpPr>
            <xdr:spPr>
              <a:xfrm>
                <a:off x="7400130" y="21880000"/>
                <a:ext cx="24013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Rectangle 340"/>
              <xdr:cNvSpPr>
                <a:spLocks/>
              </xdr:cNvSpPr>
            </xdr:nvSpPr>
            <xdr:spPr>
              <a:xfrm>
                <a:off x="8099870" y="21880000"/>
                <a:ext cx="240130" cy="1680000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96" name="Line 341"/>
          <xdr:cNvSpPr>
            <a:spLocks/>
          </xdr:cNvSpPr>
        </xdr:nvSpPr>
        <xdr:spPr>
          <a:xfrm>
            <a:off x="6541" y="-44918"/>
            <a:ext cx="28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638175</xdr:colOff>
      <xdr:row>14</xdr:row>
      <xdr:rowOff>19050</xdr:rowOff>
    </xdr:from>
    <xdr:to>
      <xdr:col>8</xdr:col>
      <xdr:colOff>57150</xdr:colOff>
      <xdr:row>14</xdr:row>
      <xdr:rowOff>19050</xdr:rowOff>
    </xdr:to>
    <xdr:sp>
      <xdr:nvSpPr>
        <xdr:cNvPr id="97" name="Line 342"/>
        <xdr:cNvSpPr>
          <a:spLocks/>
        </xdr:cNvSpPr>
      </xdr:nvSpPr>
      <xdr:spPr>
        <a:xfrm>
          <a:off x="5229225" y="2505075"/>
          <a:ext cx="18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55</xdr:row>
      <xdr:rowOff>161925</xdr:rowOff>
    </xdr:from>
    <xdr:to>
      <xdr:col>8</xdr:col>
      <xdr:colOff>57150</xdr:colOff>
      <xdr:row>55</xdr:row>
      <xdr:rowOff>161925</xdr:rowOff>
    </xdr:to>
    <xdr:sp>
      <xdr:nvSpPr>
        <xdr:cNvPr id="98" name="Line 343"/>
        <xdr:cNvSpPr>
          <a:spLocks/>
        </xdr:cNvSpPr>
      </xdr:nvSpPr>
      <xdr:spPr>
        <a:xfrm>
          <a:off x="5229225" y="10420350"/>
          <a:ext cx="18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115</xdr:row>
      <xdr:rowOff>47625</xdr:rowOff>
    </xdr:from>
    <xdr:to>
      <xdr:col>1</xdr:col>
      <xdr:colOff>0</xdr:colOff>
      <xdr:row>115</xdr:row>
      <xdr:rowOff>47625</xdr:rowOff>
    </xdr:to>
    <xdr:sp>
      <xdr:nvSpPr>
        <xdr:cNvPr id="99" name="Line 344"/>
        <xdr:cNvSpPr>
          <a:spLocks/>
        </xdr:cNvSpPr>
      </xdr:nvSpPr>
      <xdr:spPr>
        <a:xfrm flipH="1">
          <a:off x="762000" y="21174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107</xdr:row>
      <xdr:rowOff>104775</xdr:rowOff>
    </xdr:from>
    <xdr:to>
      <xdr:col>4</xdr:col>
      <xdr:colOff>28575</xdr:colOff>
      <xdr:row>113</xdr:row>
      <xdr:rowOff>38100</xdr:rowOff>
    </xdr:to>
    <xdr:grpSp>
      <xdr:nvGrpSpPr>
        <xdr:cNvPr id="100" name="Group 346"/>
        <xdr:cNvGrpSpPr>
          <a:grpSpLocks/>
        </xdr:cNvGrpSpPr>
      </xdr:nvGrpSpPr>
      <xdr:grpSpPr>
        <a:xfrm>
          <a:off x="809625" y="19916775"/>
          <a:ext cx="1771650" cy="923925"/>
          <a:chOff x="-8001" y="-176094"/>
          <a:chExt cx="16960" cy="194"/>
        </a:xfrm>
        <a:solidFill>
          <a:srgbClr val="FFFFFF"/>
        </a:solidFill>
      </xdr:grpSpPr>
      <xdr:sp>
        <xdr:nvSpPr>
          <xdr:cNvPr id="101" name="Line 347"/>
          <xdr:cNvSpPr>
            <a:spLocks/>
          </xdr:cNvSpPr>
        </xdr:nvSpPr>
        <xdr:spPr>
          <a:xfrm>
            <a:off x="-8001" y="-176094"/>
            <a:ext cx="0" cy="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348"/>
          <xdr:cNvSpPr>
            <a:spLocks/>
          </xdr:cNvSpPr>
        </xdr:nvSpPr>
        <xdr:spPr>
          <a:xfrm>
            <a:off x="-6835" y="-176094"/>
            <a:ext cx="0" cy="1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349"/>
          <xdr:cNvSpPr>
            <a:spLocks/>
          </xdr:cNvSpPr>
        </xdr:nvSpPr>
        <xdr:spPr>
          <a:xfrm>
            <a:off x="-6835" y="-175924"/>
            <a:ext cx="1579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350"/>
          <xdr:cNvSpPr>
            <a:spLocks/>
          </xdr:cNvSpPr>
        </xdr:nvSpPr>
        <xdr:spPr>
          <a:xfrm>
            <a:off x="-8001" y="-175900"/>
            <a:ext cx="1685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409575</xdr:colOff>
      <xdr:row>109</xdr:row>
      <xdr:rowOff>114300</xdr:rowOff>
    </xdr:from>
    <xdr:to>
      <xdr:col>1</xdr:col>
      <xdr:colOff>247650</xdr:colOff>
      <xdr:row>111</xdr:row>
      <xdr:rowOff>123825</xdr:rowOff>
    </xdr:to>
    <xdr:grpSp>
      <xdr:nvGrpSpPr>
        <xdr:cNvPr id="105" name="Group 351"/>
        <xdr:cNvGrpSpPr>
          <a:grpSpLocks/>
        </xdr:cNvGrpSpPr>
      </xdr:nvGrpSpPr>
      <xdr:grpSpPr>
        <a:xfrm>
          <a:off x="409575" y="20269200"/>
          <a:ext cx="600075" cy="333375"/>
          <a:chOff x="-18871" y="-444668"/>
          <a:chExt cx="18921" cy="175"/>
        </a:xfrm>
        <a:solidFill>
          <a:srgbClr val="FFFFFF"/>
        </a:solidFill>
      </xdr:grpSpPr>
      <xdr:sp>
        <xdr:nvSpPr>
          <xdr:cNvPr id="106" name="Line 352"/>
          <xdr:cNvSpPr>
            <a:spLocks/>
          </xdr:cNvSpPr>
        </xdr:nvSpPr>
        <xdr:spPr>
          <a:xfrm flipH="1">
            <a:off x="-14420" y="-444668"/>
            <a:ext cx="1854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7" name="Group 353"/>
          <xdr:cNvGrpSpPr>
            <a:grpSpLocks/>
          </xdr:cNvGrpSpPr>
        </xdr:nvGrpSpPr>
        <xdr:grpSpPr>
          <a:xfrm>
            <a:off x="-18871" y="-444668"/>
            <a:ext cx="18921" cy="175"/>
            <a:chOff x="580000" y="42560000"/>
            <a:chExt cx="1020000" cy="700000"/>
          </a:xfrm>
          <a:solidFill>
            <a:srgbClr val="FFFFFF"/>
          </a:solidFill>
        </xdr:grpSpPr>
        <xdr:sp>
          <xdr:nvSpPr>
            <xdr:cNvPr id="108" name="Arc 354"/>
            <xdr:cNvSpPr>
              <a:spLocks/>
            </xdr:cNvSpPr>
          </xdr:nvSpPr>
          <xdr:spPr>
            <a:xfrm>
              <a:off x="919915" y="42560000"/>
              <a:ext cx="680085" cy="700000"/>
            </a:xfrm>
            <a:prstGeom prst="arc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Texte 355"/>
            <xdr:cNvSpPr txBox="1">
              <a:spLocks noChangeArrowheads="1"/>
            </xdr:cNvSpPr>
          </xdr:nvSpPr>
          <xdr:spPr>
            <a:xfrm>
              <a:off x="580000" y="42779975"/>
              <a:ext cx="479910" cy="420000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M</a:t>
              </a:r>
            </a:p>
          </xdr:txBody>
        </xdr:sp>
      </xdr:grpSp>
    </xdr:grpSp>
    <xdr:clientData/>
  </xdr:twoCellAnchor>
  <xdr:twoCellAnchor>
    <xdr:from>
      <xdr:col>1</xdr:col>
      <xdr:colOff>161925</xdr:colOff>
      <xdr:row>108</xdr:row>
      <xdr:rowOff>104775</xdr:rowOff>
    </xdr:from>
    <xdr:to>
      <xdr:col>4</xdr:col>
      <xdr:colOff>9525</xdr:colOff>
      <xdr:row>109</xdr:row>
      <xdr:rowOff>66675</xdr:rowOff>
    </xdr:to>
    <xdr:grpSp>
      <xdr:nvGrpSpPr>
        <xdr:cNvPr id="110" name="Group 356"/>
        <xdr:cNvGrpSpPr>
          <a:grpSpLocks/>
        </xdr:cNvGrpSpPr>
      </xdr:nvGrpSpPr>
      <xdr:grpSpPr>
        <a:xfrm>
          <a:off x="923925" y="20078700"/>
          <a:ext cx="1638300" cy="142875"/>
          <a:chOff x="-8286" y="-17382718"/>
          <a:chExt cx="18980" cy="2850"/>
        </a:xfrm>
        <a:solidFill>
          <a:srgbClr val="FFFFFF"/>
        </a:solidFill>
      </xdr:grpSpPr>
      <xdr:sp>
        <xdr:nvSpPr>
          <xdr:cNvPr id="111" name="Line 357"/>
          <xdr:cNvSpPr>
            <a:spLocks/>
          </xdr:cNvSpPr>
        </xdr:nvSpPr>
        <xdr:spPr>
          <a:xfrm>
            <a:off x="-8286" y="-17382718"/>
            <a:ext cx="189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358"/>
          <xdr:cNvSpPr>
            <a:spLocks/>
          </xdr:cNvSpPr>
        </xdr:nvSpPr>
        <xdr:spPr>
          <a:xfrm>
            <a:off x="-7114" y="-17382718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359"/>
          <xdr:cNvSpPr>
            <a:spLocks/>
          </xdr:cNvSpPr>
        </xdr:nvSpPr>
        <xdr:spPr>
          <a:xfrm>
            <a:off x="7055" y="-17382718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360"/>
          <xdr:cNvSpPr>
            <a:spLocks/>
          </xdr:cNvSpPr>
        </xdr:nvSpPr>
        <xdr:spPr>
          <a:xfrm>
            <a:off x="4065" y="-17382718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361"/>
          <xdr:cNvSpPr>
            <a:spLocks/>
          </xdr:cNvSpPr>
        </xdr:nvSpPr>
        <xdr:spPr>
          <a:xfrm>
            <a:off x="1204" y="-17382718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362"/>
          <xdr:cNvSpPr>
            <a:spLocks/>
          </xdr:cNvSpPr>
        </xdr:nvSpPr>
        <xdr:spPr>
          <a:xfrm>
            <a:off x="-1524" y="-17382718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363"/>
          <xdr:cNvSpPr>
            <a:spLocks/>
          </xdr:cNvSpPr>
        </xdr:nvSpPr>
        <xdr:spPr>
          <a:xfrm>
            <a:off x="-4257" y="-17382718"/>
            <a:ext cx="0" cy="28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285750</xdr:colOff>
      <xdr:row>107</xdr:row>
      <xdr:rowOff>0</xdr:rowOff>
    </xdr:from>
    <xdr:to>
      <xdr:col>2</xdr:col>
      <xdr:colOff>495300</xdr:colOff>
      <xdr:row>114</xdr:row>
      <xdr:rowOff>66675</xdr:rowOff>
    </xdr:to>
    <xdr:grpSp>
      <xdr:nvGrpSpPr>
        <xdr:cNvPr id="118" name="Group 364"/>
        <xdr:cNvGrpSpPr>
          <a:grpSpLocks/>
        </xdr:cNvGrpSpPr>
      </xdr:nvGrpSpPr>
      <xdr:grpSpPr>
        <a:xfrm>
          <a:off x="285750" y="19812000"/>
          <a:ext cx="1485900" cy="1219200"/>
          <a:chOff x="-11115" y="-143034"/>
          <a:chExt cx="25900" cy="256"/>
        </a:xfrm>
        <a:solidFill>
          <a:srgbClr val="FFFFFF"/>
        </a:solidFill>
      </xdr:grpSpPr>
      <xdr:grpSp>
        <xdr:nvGrpSpPr>
          <xdr:cNvPr id="119" name="Group 365"/>
          <xdr:cNvGrpSpPr>
            <a:grpSpLocks/>
          </xdr:cNvGrpSpPr>
        </xdr:nvGrpSpPr>
        <xdr:grpSpPr>
          <a:xfrm>
            <a:off x="-11115" y="-142830"/>
            <a:ext cx="6475" cy="52"/>
            <a:chOff x="400000" y="43640000"/>
            <a:chExt cx="700000" cy="520000"/>
          </a:xfrm>
          <a:solidFill>
            <a:srgbClr val="FFFFFF"/>
          </a:solidFill>
        </xdr:grpSpPr>
        <xdr:sp>
          <xdr:nvSpPr>
            <xdr:cNvPr id="120" name="Line 366"/>
            <xdr:cNvSpPr>
              <a:spLocks/>
            </xdr:cNvSpPr>
          </xdr:nvSpPr>
          <xdr:spPr>
            <a:xfrm flipH="1">
              <a:off x="400000" y="43640000"/>
              <a:ext cx="700000" cy="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Texte 367"/>
            <xdr:cNvSpPr txBox="1">
              <a:spLocks noChangeArrowheads="1"/>
            </xdr:cNvSpPr>
          </xdr:nvSpPr>
          <xdr:spPr>
            <a:xfrm>
              <a:off x="619975" y="43700060"/>
              <a:ext cx="439950" cy="459940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R</a:t>
              </a:r>
            </a:p>
          </xdr:txBody>
        </xdr:sp>
      </xdr:grpSp>
      <xdr:sp>
        <xdr:nvSpPr>
          <xdr:cNvPr id="122" name="Texte 368"/>
          <xdr:cNvSpPr txBox="1">
            <a:spLocks noChangeArrowheads="1"/>
          </xdr:cNvSpPr>
        </xdr:nvSpPr>
        <xdr:spPr>
          <a:xfrm>
            <a:off x="11638" y="-143034"/>
            <a:ext cx="3147" cy="5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</xdr:col>
      <xdr:colOff>85725</xdr:colOff>
      <xdr:row>112</xdr:row>
      <xdr:rowOff>114300</xdr:rowOff>
    </xdr:from>
    <xdr:to>
      <xdr:col>3</xdr:col>
      <xdr:colOff>57150</xdr:colOff>
      <xdr:row>113</xdr:row>
      <xdr:rowOff>19050</xdr:rowOff>
    </xdr:to>
    <xdr:grpSp>
      <xdr:nvGrpSpPr>
        <xdr:cNvPr id="123" name="Group 369"/>
        <xdr:cNvGrpSpPr>
          <a:grpSpLocks/>
        </xdr:cNvGrpSpPr>
      </xdr:nvGrpSpPr>
      <xdr:grpSpPr>
        <a:xfrm>
          <a:off x="847725" y="20754975"/>
          <a:ext cx="1000125" cy="66675"/>
          <a:chOff x="-10976" y="-1027550"/>
          <a:chExt cx="15759" cy="77"/>
        </a:xfrm>
        <a:solidFill>
          <a:srgbClr val="FFFFFF"/>
        </a:solidFill>
      </xdr:grpSpPr>
      <xdr:sp>
        <xdr:nvSpPr>
          <xdr:cNvPr id="124" name="Line 370"/>
          <xdr:cNvSpPr>
            <a:spLocks/>
          </xdr:cNvSpPr>
        </xdr:nvSpPr>
        <xdr:spPr>
          <a:xfrm>
            <a:off x="-10976" y="-1027550"/>
            <a:ext cx="15759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371"/>
          <xdr:cNvSpPr>
            <a:spLocks/>
          </xdr:cNvSpPr>
        </xdr:nvSpPr>
        <xdr:spPr>
          <a:xfrm>
            <a:off x="-10976" y="-1027550"/>
            <a:ext cx="0" cy="7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111</xdr:row>
      <xdr:rowOff>133350</xdr:rowOff>
    </xdr:from>
    <xdr:to>
      <xdr:col>2</xdr:col>
      <xdr:colOff>161925</xdr:colOff>
      <xdr:row>112</xdr:row>
      <xdr:rowOff>114300</xdr:rowOff>
    </xdr:to>
    <xdr:sp>
      <xdr:nvSpPr>
        <xdr:cNvPr id="126" name="Line 372"/>
        <xdr:cNvSpPr>
          <a:spLocks/>
        </xdr:cNvSpPr>
      </xdr:nvSpPr>
      <xdr:spPr>
        <a:xfrm>
          <a:off x="1438275" y="2061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110</xdr:row>
      <xdr:rowOff>133350</xdr:rowOff>
    </xdr:from>
    <xdr:to>
      <xdr:col>2</xdr:col>
      <xdr:colOff>228600</xdr:colOff>
      <xdr:row>111</xdr:row>
      <xdr:rowOff>123825</xdr:rowOff>
    </xdr:to>
    <xdr:sp>
      <xdr:nvSpPr>
        <xdr:cNvPr id="127" name="Texte 373"/>
        <xdr:cNvSpPr txBox="1">
          <a:spLocks noChangeArrowheads="1"/>
        </xdr:cNvSpPr>
      </xdr:nvSpPr>
      <xdr:spPr>
        <a:xfrm>
          <a:off x="1371600" y="204501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47625</xdr:colOff>
      <xdr:row>113</xdr:row>
      <xdr:rowOff>85725</xdr:rowOff>
    </xdr:from>
    <xdr:to>
      <xdr:col>1</xdr:col>
      <xdr:colOff>47625</xdr:colOff>
      <xdr:row>115</xdr:row>
      <xdr:rowOff>47625</xdr:rowOff>
    </xdr:to>
    <xdr:sp>
      <xdr:nvSpPr>
        <xdr:cNvPr id="128" name="Line 374"/>
        <xdr:cNvSpPr>
          <a:spLocks/>
        </xdr:cNvSpPr>
      </xdr:nvSpPr>
      <xdr:spPr>
        <a:xfrm>
          <a:off x="809625" y="2088832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113</xdr:row>
      <xdr:rowOff>85725</xdr:rowOff>
    </xdr:from>
    <xdr:to>
      <xdr:col>2</xdr:col>
      <xdr:colOff>333375</xdr:colOff>
      <xdr:row>115</xdr:row>
      <xdr:rowOff>47625</xdr:rowOff>
    </xdr:to>
    <xdr:sp>
      <xdr:nvSpPr>
        <xdr:cNvPr id="129" name="Line 375"/>
        <xdr:cNvSpPr>
          <a:spLocks/>
        </xdr:cNvSpPr>
      </xdr:nvSpPr>
      <xdr:spPr>
        <a:xfrm>
          <a:off x="1609725" y="2088832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114</xdr:row>
      <xdr:rowOff>85725</xdr:rowOff>
    </xdr:from>
    <xdr:to>
      <xdr:col>2</xdr:col>
      <xdr:colOff>333375</xdr:colOff>
      <xdr:row>114</xdr:row>
      <xdr:rowOff>85725</xdr:rowOff>
    </xdr:to>
    <xdr:sp>
      <xdr:nvSpPr>
        <xdr:cNvPr id="130" name="Line 376"/>
        <xdr:cNvSpPr>
          <a:spLocks/>
        </xdr:cNvSpPr>
      </xdr:nvSpPr>
      <xdr:spPr>
        <a:xfrm>
          <a:off x="819150" y="2105025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113</xdr:row>
      <xdr:rowOff>76200</xdr:rowOff>
    </xdr:from>
    <xdr:to>
      <xdr:col>2</xdr:col>
      <xdr:colOff>66675</xdr:colOff>
      <xdr:row>114</xdr:row>
      <xdr:rowOff>66675</xdr:rowOff>
    </xdr:to>
    <xdr:sp>
      <xdr:nvSpPr>
        <xdr:cNvPr id="131" name="Texte 377"/>
        <xdr:cNvSpPr txBox="1">
          <a:spLocks noChangeArrowheads="1"/>
        </xdr:cNvSpPr>
      </xdr:nvSpPr>
      <xdr:spPr>
        <a:xfrm>
          <a:off x="1095375" y="20878800"/>
          <a:ext cx="247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2</xdr:col>
      <xdr:colOff>314325</xdr:colOff>
      <xdr:row>113</xdr:row>
      <xdr:rowOff>19050</xdr:rowOff>
    </xdr:from>
    <xdr:to>
      <xdr:col>2</xdr:col>
      <xdr:colOff>352425</xdr:colOff>
      <xdr:row>113</xdr:row>
      <xdr:rowOff>57150</xdr:rowOff>
    </xdr:to>
    <xdr:sp>
      <xdr:nvSpPr>
        <xdr:cNvPr id="132" name="Oval 378"/>
        <xdr:cNvSpPr>
          <a:spLocks/>
        </xdr:cNvSpPr>
      </xdr:nvSpPr>
      <xdr:spPr>
        <a:xfrm>
          <a:off x="1590675" y="208216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110</xdr:row>
      <xdr:rowOff>38100</xdr:rowOff>
    </xdr:from>
    <xdr:to>
      <xdr:col>4</xdr:col>
      <xdr:colOff>238125</xdr:colOff>
      <xdr:row>111</xdr:row>
      <xdr:rowOff>95250</xdr:rowOff>
    </xdr:to>
    <xdr:sp>
      <xdr:nvSpPr>
        <xdr:cNvPr id="133" name="Texte 379"/>
        <xdr:cNvSpPr txBox="1">
          <a:spLocks noChangeArrowheads="1"/>
        </xdr:cNvSpPr>
      </xdr:nvSpPr>
      <xdr:spPr>
        <a:xfrm>
          <a:off x="1743075" y="20354925"/>
          <a:ext cx="1047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point de moment nul
dans le radier</a:t>
          </a:r>
        </a:p>
      </xdr:txBody>
    </xdr:sp>
    <xdr:clientData/>
  </xdr:twoCellAnchor>
  <xdr:twoCellAnchor>
    <xdr:from>
      <xdr:col>2</xdr:col>
      <xdr:colOff>333375</xdr:colOff>
      <xdr:row>111</xdr:row>
      <xdr:rowOff>95250</xdr:rowOff>
    </xdr:from>
    <xdr:to>
      <xdr:col>2</xdr:col>
      <xdr:colOff>466725</xdr:colOff>
      <xdr:row>113</xdr:row>
      <xdr:rowOff>28575</xdr:rowOff>
    </xdr:to>
    <xdr:sp>
      <xdr:nvSpPr>
        <xdr:cNvPr id="134" name="Line 380"/>
        <xdr:cNvSpPr>
          <a:spLocks/>
        </xdr:cNvSpPr>
      </xdr:nvSpPr>
      <xdr:spPr>
        <a:xfrm flipH="1">
          <a:off x="1609725" y="20574000"/>
          <a:ext cx="13335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19</xdr:row>
      <xdr:rowOff>66675</xdr:rowOff>
    </xdr:from>
    <xdr:to>
      <xdr:col>3</xdr:col>
      <xdr:colOff>390525</xdr:colOff>
      <xdr:row>24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828675" y="3609975"/>
          <a:ext cx="1304925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24</xdr:row>
      <xdr:rowOff>85725</xdr:rowOff>
    </xdr:from>
    <xdr:to>
      <xdr:col>1</xdr:col>
      <xdr:colOff>114300</xdr:colOff>
      <xdr:row>24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180975" y="462915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17</xdr:row>
      <xdr:rowOff>114300</xdr:rowOff>
    </xdr:from>
    <xdr:to>
      <xdr:col>3</xdr:col>
      <xdr:colOff>390525</xdr:colOff>
      <xdr:row>19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2133600" y="2971800"/>
          <a:ext cx="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17</xdr:row>
      <xdr:rowOff>38100</xdr:rowOff>
    </xdr:from>
    <xdr:to>
      <xdr:col>4</xdr:col>
      <xdr:colOff>114300</xdr:colOff>
      <xdr:row>17</xdr:row>
      <xdr:rowOff>247650</xdr:rowOff>
    </xdr:to>
    <xdr:sp>
      <xdr:nvSpPr>
        <xdr:cNvPr id="4" name="Texte 6"/>
        <xdr:cNvSpPr txBox="1">
          <a:spLocks noChangeArrowheads="1"/>
        </xdr:cNvSpPr>
      </xdr:nvSpPr>
      <xdr:spPr>
        <a:xfrm>
          <a:off x="2238375" y="2895600"/>
          <a:ext cx="2000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133350</xdr:colOff>
      <xdr:row>23</xdr:row>
      <xdr:rowOff>0</xdr:rowOff>
    </xdr:from>
    <xdr:to>
      <xdr:col>0</xdr:col>
      <xdr:colOff>390525</xdr:colOff>
      <xdr:row>24</xdr:row>
      <xdr:rowOff>9525</xdr:rowOff>
    </xdr:to>
    <xdr:sp>
      <xdr:nvSpPr>
        <xdr:cNvPr id="5" name="Texte 7"/>
        <xdr:cNvSpPr txBox="1">
          <a:spLocks noChangeArrowheads="1"/>
        </xdr:cNvSpPr>
      </xdr:nvSpPr>
      <xdr:spPr>
        <a:xfrm>
          <a:off x="133350" y="4343400"/>
          <a:ext cx="2571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2</xdr:col>
      <xdr:colOff>257175</xdr:colOff>
      <xdr:row>18</xdr:row>
      <xdr:rowOff>0</xdr:rowOff>
    </xdr:from>
    <xdr:to>
      <xdr:col>2</xdr:col>
      <xdr:colOff>476250</xdr:colOff>
      <xdr:row>18</xdr:row>
      <xdr:rowOff>190500</xdr:rowOff>
    </xdr:to>
    <xdr:sp>
      <xdr:nvSpPr>
        <xdr:cNvPr id="6" name="Texte 11"/>
        <xdr:cNvSpPr txBox="1">
          <a:spLocks noChangeArrowheads="1"/>
        </xdr:cNvSpPr>
      </xdr:nvSpPr>
      <xdr:spPr>
        <a:xfrm>
          <a:off x="1419225" y="3343275"/>
          <a:ext cx="2190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581025</xdr:colOff>
      <xdr:row>21</xdr:row>
      <xdr:rowOff>66675</xdr:rowOff>
    </xdr:from>
    <xdr:to>
      <xdr:col>1</xdr:col>
      <xdr:colOff>152400</xdr:colOff>
      <xdr:row>22</xdr:row>
      <xdr:rowOff>66675</xdr:rowOff>
    </xdr:to>
    <xdr:sp>
      <xdr:nvSpPr>
        <xdr:cNvPr id="7" name="Texte 12"/>
        <xdr:cNvSpPr txBox="1">
          <a:spLocks noChangeArrowheads="1"/>
        </xdr:cNvSpPr>
      </xdr:nvSpPr>
      <xdr:spPr>
        <a:xfrm>
          <a:off x="581025" y="4010025"/>
          <a:ext cx="1524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38100</xdr:colOff>
      <xdr:row>19</xdr:row>
      <xdr:rowOff>66675</xdr:rowOff>
    </xdr:from>
    <xdr:to>
      <xdr:col>4</xdr:col>
      <xdr:colOff>342900</xdr:colOff>
      <xdr:row>24</xdr:row>
      <xdr:rowOff>85725</xdr:rowOff>
    </xdr:to>
    <xdr:sp>
      <xdr:nvSpPr>
        <xdr:cNvPr id="8" name="Dessin 14"/>
        <xdr:cNvSpPr>
          <a:spLocks/>
        </xdr:cNvSpPr>
      </xdr:nvSpPr>
      <xdr:spPr>
        <a:xfrm>
          <a:off x="2362200" y="3609975"/>
          <a:ext cx="304800" cy="1019175"/>
        </a:xfrm>
        <a:custGeom>
          <a:pathLst>
            <a:path h="16384" w="16384">
              <a:moveTo>
                <a:pt x="578" y="0"/>
              </a:moveTo>
              <a:lnTo>
                <a:pt x="386" y="0"/>
              </a:lnTo>
              <a:lnTo>
                <a:pt x="0" y="16384"/>
              </a:lnTo>
              <a:lnTo>
                <a:pt x="16384" y="16384"/>
              </a:lnTo>
              <a:lnTo>
                <a:pt x="578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25</xdr:row>
      <xdr:rowOff>38100</xdr:rowOff>
    </xdr:from>
    <xdr:to>
      <xdr:col>3</xdr:col>
      <xdr:colOff>390525</xdr:colOff>
      <xdr:row>26</xdr:row>
      <xdr:rowOff>85725</xdr:rowOff>
    </xdr:to>
    <xdr:sp>
      <xdr:nvSpPr>
        <xdr:cNvPr id="9" name="Rectangle 15"/>
        <xdr:cNvSpPr>
          <a:spLocks/>
        </xdr:cNvSpPr>
      </xdr:nvSpPr>
      <xdr:spPr>
        <a:xfrm>
          <a:off x="828675" y="4743450"/>
          <a:ext cx="1304925" cy="209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24</xdr:row>
      <xdr:rowOff>142875</xdr:rowOff>
    </xdr:from>
    <xdr:to>
      <xdr:col>1</xdr:col>
      <xdr:colOff>247650</xdr:colOff>
      <xdr:row>25</xdr:row>
      <xdr:rowOff>85725</xdr:rowOff>
    </xdr:to>
    <xdr:sp>
      <xdr:nvSpPr>
        <xdr:cNvPr id="10" name="Rectangle 16"/>
        <xdr:cNvSpPr>
          <a:spLocks/>
        </xdr:cNvSpPr>
      </xdr:nvSpPr>
      <xdr:spPr>
        <a:xfrm>
          <a:off x="790575" y="4686300"/>
          <a:ext cx="38100" cy="104775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24</xdr:row>
      <xdr:rowOff>152400</xdr:rowOff>
    </xdr:from>
    <xdr:to>
      <xdr:col>3</xdr:col>
      <xdr:colOff>428625</xdr:colOff>
      <xdr:row>25</xdr:row>
      <xdr:rowOff>85725</xdr:rowOff>
    </xdr:to>
    <xdr:sp>
      <xdr:nvSpPr>
        <xdr:cNvPr id="11" name="Rectangle 17"/>
        <xdr:cNvSpPr>
          <a:spLocks/>
        </xdr:cNvSpPr>
      </xdr:nvSpPr>
      <xdr:spPr>
        <a:xfrm>
          <a:off x="2133600" y="4695825"/>
          <a:ext cx="38100" cy="9525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85725</xdr:rowOff>
    </xdr:from>
    <xdr:to>
      <xdr:col>4</xdr:col>
      <xdr:colOff>95250</xdr:colOff>
      <xdr:row>24</xdr:row>
      <xdr:rowOff>123825</xdr:rowOff>
    </xdr:to>
    <xdr:sp>
      <xdr:nvSpPr>
        <xdr:cNvPr id="12" name="Rectangle 18"/>
        <xdr:cNvSpPr>
          <a:spLocks/>
        </xdr:cNvSpPr>
      </xdr:nvSpPr>
      <xdr:spPr>
        <a:xfrm>
          <a:off x="2305050" y="4629150"/>
          <a:ext cx="114300" cy="38100"/>
        </a:xfrm>
        <a:prstGeom prst="rect">
          <a:avLst/>
        </a:prstGeom>
        <a:pattFill prst="dk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19</xdr:row>
      <xdr:rowOff>76200</xdr:rowOff>
    </xdr:from>
    <xdr:to>
      <xdr:col>4</xdr:col>
      <xdr:colOff>19050</xdr:colOff>
      <xdr:row>19</xdr:row>
      <xdr:rowOff>76200</xdr:rowOff>
    </xdr:to>
    <xdr:sp>
      <xdr:nvSpPr>
        <xdr:cNvPr id="13" name="Line 19"/>
        <xdr:cNvSpPr>
          <a:spLocks/>
        </xdr:cNvSpPr>
      </xdr:nvSpPr>
      <xdr:spPr>
        <a:xfrm>
          <a:off x="2219325" y="361950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4</xdr:col>
      <xdr:colOff>123825</xdr:colOff>
      <xdr:row>48</xdr:row>
      <xdr:rowOff>123825</xdr:rowOff>
    </xdr:to>
    <xdr:grpSp>
      <xdr:nvGrpSpPr>
        <xdr:cNvPr id="1" name="Group 2"/>
        <xdr:cNvGrpSpPr>
          <a:grpSpLocks/>
        </xdr:cNvGrpSpPr>
      </xdr:nvGrpSpPr>
      <xdr:grpSpPr>
        <a:xfrm>
          <a:off x="552450" y="7467600"/>
          <a:ext cx="1781175" cy="1533525"/>
          <a:chOff x="-12" y="-129433"/>
          <a:chExt cx="16082" cy="644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245" y="-129141"/>
            <a:ext cx="15825" cy="168"/>
            <a:chOff x="1220000" y="17140000"/>
            <a:chExt cx="3680000" cy="840000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>
              <a:off x="1220000" y="17679910"/>
              <a:ext cx="3480360" cy="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5"/>
            <xdr:cNvSpPr>
              <a:spLocks/>
            </xdr:cNvSpPr>
          </xdr:nvSpPr>
          <xdr:spPr>
            <a:xfrm>
              <a:off x="4700360" y="17140000"/>
              <a:ext cx="199640" cy="840000"/>
            </a:xfrm>
            <a:prstGeom prst="rect">
              <a:avLst/>
            </a:prstGeom>
            <a:pattFill prst="dkUpDiag">
              <a:fgClr>
                <a:srgbClr val="000000"/>
              </a:fgClr>
              <a:bgClr>
                <a:srgbClr val="FFFFFF"/>
              </a:bgClr>
            </a:patt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Dessin 6"/>
          <xdr:cNvSpPr>
            <a:spLocks/>
          </xdr:cNvSpPr>
        </xdr:nvSpPr>
        <xdr:spPr>
          <a:xfrm>
            <a:off x="-12" y="-129433"/>
            <a:ext cx="14964" cy="248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0"/>
                </a:lnTo>
                <a:lnTo>
                  <a:pt x="0" y="16384"/>
                </a:lnTo>
                <a:close/>
              </a:path>
            </a:pathLst>
          </a:cu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7"/>
          <xdr:cNvGrpSpPr>
            <a:grpSpLocks/>
          </xdr:cNvGrpSpPr>
        </xdr:nvGrpSpPr>
        <xdr:grpSpPr>
          <a:xfrm>
            <a:off x="8588" y="-128873"/>
            <a:ext cx="6019" cy="84"/>
            <a:chOff x="3160000" y="18480000"/>
            <a:chExt cx="1400000" cy="420000"/>
          </a:xfrm>
          <a:solidFill>
            <a:srgbClr val="FFFFFF"/>
          </a:solidFill>
        </xdr:grpSpPr>
        <xdr:sp>
          <xdr:nvSpPr>
            <xdr:cNvPr id="7" name="Texte 8"/>
            <xdr:cNvSpPr txBox="1">
              <a:spLocks noChangeArrowheads="1"/>
            </xdr:cNvSpPr>
          </xdr:nvSpPr>
          <xdr:spPr>
            <a:xfrm>
              <a:off x="3160000" y="18480000"/>
              <a:ext cx="479850" cy="37999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x</a:t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 flipH="1">
              <a:off x="3619900" y="18900000"/>
              <a:ext cx="9401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38</xdr:row>
      <xdr:rowOff>0</xdr:rowOff>
    </xdr:from>
    <xdr:to>
      <xdr:col>3</xdr:col>
      <xdr:colOff>390525</xdr:colOff>
      <xdr:row>46</xdr:row>
      <xdr:rowOff>9525</xdr:rowOff>
    </xdr:to>
    <xdr:grpSp>
      <xdr:nvGrpSpPr>
        <xdr:cNvPr id="1" name="Group 11"/>
        <xdr:cNvGrpSpPr>
          <a:grpSpLocks/>
        </xdr:cNvGrpSpPr>
      </xdr:nvGrpSpPr>
      <xdr:grpSpPr>
        <a:xfrm>
          <a:off x="266700" y="7143750"/>
          <a:ext cx="1781175" cy="1457325"/>
          <a:chOff x="-3447" y="-222195"/>
          <a:chExt cx="21505" cy="1359"/>
        </a:xfrm>
        <a:solidFill>
          <a:srgbClr val="FFFFFF"/>
        </a:solidFill>
      </xdr:grpSpPr>
      <xdr:grpSp>
        <xdr:nvGrpSpPr>
          <xdr:cNvPr id="2" name="Group 12"/>
          <xdr:cNvGrpSpPr>
            <a:grpSpLocks/>
          </xdr:cNvGrpSpPr>
        </xdr:nvGrpSpPr>
        <xdr:grpSpPr>
          <a:xfrm>
            <a:off x="-3103" y="-221520"/>
            <a:ext cx="21161" cy="576"/>
            <a:chOff x="620000" y="16500000"/>
            <a:chExt cx="3680000" cy="1280000"/>
          </a:xfrm>
          <a:solidFill>
            <a:srgbClr val="FFFFFF"/>
          </a:solidFill>
        </xdr:grpSpPr>
        <xdr:sp>
          <xdr:nvSpPr>
            <xdr:cNvPr id="3" name="Line 13"/>
            <xdr:cNvSpPr>
              <a:spLocks/>
            </xdr:cNvSpPr>
          </xdr:nvSpPr>
          <xdr:spPr>
            <a:xfrm>
              <a:off x="620000" y="16940000"/>
              <a:ext cx="3480360" cy="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4"/>
            <xdr:cNvSpPr>
              <a:spLocks/>
            </xdr:cNvSpPr>
          </xdr:nvSpPr>
          <xdr:spPr>
            <a:xfrm flipV="1">
              <a:off x="620000" y="17040160"/>
              <a:ext cx="0" cy="74016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15"/>
            <xdr:cNvSpPr>
              <a:spLocks/>
            </xdr:cNvSpPr>
          </xdr:nvSpPr>
          <xdr:spPr>
            <a:xfrm>
              <a:off x="4100360" y="16500000"/>
              <a:ext cx="199640" cy="760000"/>
            </a:xfrm>
            <a:prstGeom prst="rect">
              <a:avLst/>
            </a:prstGeom>
            <a:pattFill prst="dkUpDiag">
              <a:fgClr>
                <a:srgbClr val="000000"/>
              </a:fgClr>
              <a:bgClr>
                <a:srgbClr val="FFFFFF"/>
              </a:bgClr>
            </a:patt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16"/>
          <xdr:cNvGrpSpPr>
            <a:grpSpLocks/>
          </xdr:cNvGrpSpPr>
        </xdr:nvGrpSpPr>
        <xdr:grpSpPr>
          <a:xfrm>
            <a:off x="-3447" y="-221079"/>
            <a:ext cx="7935" cy="243"/>
            <a:chOff x="560000" y="17480000"/>
            <a:chExt cx="1380000" cy="540000"/>
          </a:xfrm>
          <a:solidFill>
            <a:srgbClr val="FFFFFF"/>
          </a:solidFill>
        </xdr:grpSpPr>
        <xdr:sp>
          <xdr:nvSpPr>
            <xdr:cNvPr id="7" name="Line 17"/>
            <xdr:cNvSpPr>
              <a:spLocks/>
            </xdr:cNvSpPr>
          </xdr:nvSpPr>
          <xdr:spPr>
            <a:xfrm>
              <a:off x="560000" y="18020000"/>
              <a:ext cx="103983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Texte 18"/>
            <xdr:cNvSpPr txBox="1">
              <a:spLocks noChangeArrowheads="1"/>
            </xdr:cNvSpPr>
          </xdr:nvSpPr>
          <xdr:spPr>
            <a:xfrm>
              <a:off x="1520135" y="17480000"/>
              <a:ext cx="419865" cy="38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x</a:t>
              </a:r>
            </a:p>
          </xdr:txBody>
        </xdr:sp>
      </xdr:grpSp>
      <xdr:sp>
        <xdr:nvSpPr>
          <xdr:cNvPr id="9" name="Dessin 19"/>
          <xdr:cNvSpPr>
            <a:spLocks/>
          </xdr:cNvSpPr>
        </xdr:nvSpPr>
        <xdr:spPr>
          <a:xfrm>
            <a:off x="-3447" y="-222195"/>
            <a:ext cx="20010" cy="567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0"/>
                </a:lnTo>
                <a:lnTo>
                  <a:pt x="0" y="16384"/>
                </a:lnTo>
                <a:close/>
              </a:path>
            </a:pathLst>
          </a:cu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45"/>
  <sheetViews>
    <sheetView workbookViewId="0" topLeftCell="A27">
      <selection activeCell="C15" sqref="C15"/>
    </sheetView>
  </sheetViews>
  <sheetFormatPr defaultColWidth="6.7109375" defaultRowHeight="12.75"/>
  <cols>
    <col min="1" max="1" width="14.7109375" style="0" customWidth="1"/>
  </cols>
  <sheetData>
    <row r="1" ht="15.75">
      <c r="A1" s="79" t="s">
        <v>0</v>
      </c>
    </row>
    <row r="2" ht="12.75">
      <c r="A2" t="s">
        <v>1</v>
      </c>
    </row>
    <row r="5" spans="1:9" ht="12.75">
      <c r="A5" t="s">
        <v>2</v>
      </c>
      <c r="H5" s="130">
        <v>30</v>
      </c>
      <c r="I5" t="s">
        <v>3</v>
      </c>
    </row>
    <row r="6" spans="1:9" ht="12.75">
      <c r="A6" t="s">
        <v>4</v>
      </c>
      <c r="H6" s="1">
        <f>0.06*H5+0.6</f>
        <v>2.4</v>
      </c>
      <c r="I6" t="s">
        <v>3</v>
      </c>
    </row>
    <row r="7" spans="1:9" ht="12.75">
      <c r="A7" t="s">
        <v>5</v>
      </c>
      <c r="H7" s="131">
        <v>500</v>
      </c>
      <c r="I7" t="s">
        <v>3</v>
      </c>
    </row>
    <row r="10" ht="12.75">
      <c r="A10" s="3" t="s">
        <v>6</v>
      </c>
    </row>
    <row r="13" spans="2:5" ht="12.75">
      <c r="B13" s="5" t="s">
        <v>7</v>
      </c>
      <c r="C13">
        <v>240</v>
      </c>
      <c r="E13" t="s">
        <v>8</v>
      </c>
    </row>
    <row r="14" ht="12.75">
      <c r="E14" t="s">
        <v>9</v>
      </c>
    </row>
    <row r="15" spans="2:5" ht="12.75">
      <c r="B15" s="5" t="s">
        <v>10</v>
      </c>
      <c r="C15" s="132">
        <v>1.6</v>
      </c>
      <c r="E15" t="s">
        <v>11</v>
      </c>
    </row>
    <row r="16" ht="13.5" thickBot="1"/>
    <row r="17" spans="1:10" ht="13.5" thickBot="1">
      <c r="A17" s="80" t="s">
        <v>12</v>
      </c>
      <c r="B17" s="81">
        <v>8</v>
      </c>
      <c r="C17" s="81">
        <v>10</v>
      </c>
      <c r="D17" s="81">
        <v>12</v>
      </c>
      <c r="E17" s="81">
        <v>14</v>
      </c>
      <c r="F17" s="81">
        <v>16</v>
      </c>
      <c r="G17" s="81">
        <v>20</v>
      </c>
      <c r="H17" s="81">
        <v>25</v>
      </c>
      <c r="I17" s="81">
        <v>32</v>
      </c>
      <c r="J17" s="82">
        <v>40</v>
      </c>
    </row>
    <row r="18" spans="1:10" ht="14.25">
      <c r="A18" s="83" t="s">
        <v>13</v>
      </c>
      <c r="B18" s="84">
        <f aca="true" t="shared" si="0" ref="B18:J18">$C$13*SQRT($C$15*$H$6/B17)</f>
        <v>166.27687752661222</v>
      </c>
      <c r="C18" s="84">
        <f t="shared" si="0"/>
        <v>148.7225604943648</v>
      </c>
      <c r="D18" s="84">
        <f t="shared" si="0"/>
        <v>135.7645019878171</v>
      </c>
      <c r="E18" s="84">
        <f t="shared" si="0"/>
        <v>125.6935047759316</v>
      </c>
      <c r="F18" s="84">
        <f t="shared" si="0"/>
        <v>117.57550765359254</v>
      </c>
      <c r="G18" s="84">
        <f t="shared" si="0"/>
        <v>105.1627310409919</v>
      </c>
      <c r="H18" s="84">
        <f t="shared" si="0"/>
        <v>94.06040612287403</v>
      </c>
      <c r="I18" s="84">
        <f t="shared" si="0"/>
        <v>83.13843876330611</v>
      </c>
      <c r="J18" s="85">
        <f t="shared" si="0"/>
        <v>74.3612802471824</v>
      </c>
    </row>
    <row r="19" spans="1:10" ht="15" thickBot="1">
      <c r="A19" s="86" t="s">
        <v>14</v>
      </c>
      <c r="B19" s="87">
        <f aca="true" t="shared" si="1" ref="B19:J19">B18+30*$C$15</f>
        <v>214.27687752661222</v>
      </c>
      <c r="C19" s="87">
        <f t="shared" si="1"/>
        <v>196.7225604943648</v>
      </c>
      <c r="D19" s="87">
        <f t="shared" si="1"/>
        <v>183.7645019878171</v>
      </c>
      <c r="E19" s="87">
        <f t="shared" si="1"/>
        <v>173.69350477593161</v>
      </c>
      <c r="F19" s="87">
        <f t="shared" si="1"/>
        <v>165.57550765359252</v>
      </c>
      <c r="G19" s="87">
        <f t="shared" si="1"/>
        <v>153.1627310409919</v>
      </c>
      <c r="H19" s="87">
        <f t="shared" si="1"/>
        <v>142.06040612287404</v>
      </c>
      <c r="I19" s="87">
        <f t="shared" si="1"/>
        <v>131.1384387633061</v>
      </c>
      <c r="J19" s="88">
        <f t="shared" si="1"/>
        <v>122.3612802471824</v>
      </c>
    </row>
    <row r="22" ht="14.25">
      <c r="A22" t="s">
        <v>15</v>
      </c>
    </row>
    <row r="23" ht="12.75">
      <c r="A23" t="s">
        <v>16</v>
      </c>
    </row>
    <row r="26" spans="1:12" ht="15.75">
      <c r="A26" t="s">
        <v>17</v>
      </c>
      <c r="K26" s="14">
        <f>0.5*H7</f>
        <v>250</v>
      </c>
      <c r="L26" t="s">
        <v>3</v>
      </c>
    </row>
    <row r="27" ht="12.75">
      <c r="K27" s="14"/>
    </row>
    <row r="28" spans="11:12" ht="12.75">
      <c r="K28" s="14">
        <f>90*SQRT(C15*H6)</f>
        <v>176.36326148038881</v>
      </c>
      <c r="L28" t="s">
        <v>3</v>
      </c>
    </row>
    <row r="29" ht="12.75">
      <c r="K29" s="14"/>
    </row>
    <row r="31" ht="12.75">
      <c r="A31" s="3" t="s">
        <v>18</v>
      </c>
    </row>
    <row r="32" ht="12.75">
      <c r="A32" s="3"/>
    </row>
    <row r="34" ht="12.75">
      <c r="A34" t="s">
        <v>19</v>
      </c>
    </row>
    <row r="38" spans="2:10" ht="12.75">
      <c r="B38" s="89" t="s">
        <v>20</v>
      </c>
      <c r="E38" s="5" t="s">
        <v>21</v>
      </c>
      <c r="F38" s="90" t="s">
        <v>22</v>
      </c>
      <c r="I38" s="1">
        <f>1.1*$H$6</f>
        <v>2.64</v>
      </c>
      <c r="J38" t="s">
        <v>3</v>
      </c>
    </row>
    <row r="39" spans="2:9" ht="12.75">
      <c r="B39" s="89"/>
      <c r="I39" s="1"/>
    </row>
    <row r="40" spans="2:10" ht="12.75">
      <c r="B40" s="89" t="s">
        <v>23</v>
      </c>
      <c r="E40" s="5" t="s">
        <v>21</v>
      </c>
      <c r="I40" s="91" t="s">
        <v>24</v>
      </c>
      <c r="J40" t="s">
        <v>3</v>
      </c>
    </row>
    <row r="41" spans="2:9" ht="12.75">
      <c r="B41" s="89"/>
      <c r="I41" s="1"/>
    </row>
    <row r="42" spans="2:10" ht="12.75">
      <c r="B42" s="89" t="s">
        <v>25</v>
      </c>
      <c r="E42" s="5" t="s">
        <v>21</v>
      </c>
      <c r="F42" s="92" t="s">
        <v>26</v>
      </c>
      <c r="I42" s="1">
        <f>1.1*5/3*$H$6</f>
        <v>4.3999999999999995</v>
      </c>
      <c r="J42" t="s">
        <v>3</v>
      </c>
    </row>
    <row r="44" spans="1:3" ht="15.75">
      <c r="A44" t="s">
        <v>27</v>
      </c>
      <c r="B44" s="4" t="s">
        <v>28</v>
      </c>
      <c r="C44" t="s">
        <v>29</v>
      </c>
    </row>
    <row r="45" ht="15.75">
      <c r="C45" t="s">
        <v>30</v>
      </c>
    </row>
  </sheetData>
  <sheetProtection sheet="1" objects="1" scenarios="1"/>
  <printOptions/>
  <pageMargins left="0.7874015748031497" right="0.5905511811023623" top="1.3779527559055118" bottom="0.984251968503937" header="0.5118110236220472" footer="0.5118110236220472"/>
  <pageSetup horizontalDpi="300" verticalDpi="300" orientation="portrait" paperSize="9" r:id="rId6"/>
  <headerFooter alignWithMargins="0">
    <oddHeader>&amp;LEUROCONCEPT INGENIERIE&amp;C&amp;F,  &amp;A&amp;R&amp;D</oddHeader>
    <oddFooter>&amp;LSTATION E.P. ROISSY - LOT 30K&amp;RPage  &amp;P</oddFooter>
  </headerFooter>
  <legacyDrawing r:id="rId5"/>
  <oleObjects>
    <oleObject progId="Equation.2" shapeId="912680" r:id="rId1"/>
    <oleObject progId="Equation.2" shapeId="912684" r:id="rId2"/>
    <oleObject progId="Equation.2" shapeId="912688" r:id="rId3"/>
    <oleObject progId="Equation.2" shapeId="912692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42"/>
  <sheetViews>
    <sheetView workbookViewId="0" topLeftCell="A1">
      <selection activeCell="N4" sqref="N4"/>
    </sheetView>
  </sheetViews>
  <sheetFormatPr defaultColWidth="8.7109375" defaultRowHeight="12.75"/>
  <sheetData>
    <row r="1" spans="1:4" ht="12.75">
      <c r="A1" t="s">
        <v>161</v>
      </c>
      <c r="D1" t="s">
        <v>199</v>
      </c>
    </row>
    <row r="4" spans="1:9" ht="15.75">
      <c r="A4" s="9" t="s">
        <v>164</v>
      </c>
      <c r="B4" s="7" t="s">
        <v>200</v>
      </c>
      <c r="C4" s="7" t="s">
        <v>201</v>
      </c>
      <c r="D4" s="7" t="s">
        <v>202</v>
      </c>
      <c r="E4" s="7" t="s">
        <v>203</v>
      </c>
      <c r="F4" s="7" t="s">
        <v>204</v>
      </c>
      <c r="G4" s="7" t="s">
        <v>205</v>
      </c>
      <c r="I4" s="9" t="s">
        <v>164</v>
      </c>
    </row>
    <row r="5" spans="1:9" ht="12.75">
      <c r="A5" s="7"/>
      <c r="I5" s="7"/>
    </row>
    <row r="6" spans="1:9" ht="12.75">
      <c r="A6" s="8">
        <v>0.1</v>
      </c>
      <c r="D6" s="10">
        <v>-0.1666</v>
      </c>
      <c r="H6">
        <v>1</v>
      </c>
      <c r="I6" s="8">
        <f aca="true" t="shared" si="0" ref="I6:I29">A6</f>
        <v>0.1</v>
      </c>
    </row>
    <row r="7" spans="1:9" ht="12.75">
      <c r="A7" s="8">
        <v>0.3</v>
      </c>
      <c r="B7" s="10">
        <v>0.0042</v>
      </c>
      <c r="C7" s="10"/>
      <c r="D7" s="10">
        <v>-0.15</v>
      </c>
      <c r="E7" s="10">
        <v>0.0006</v>
      </c>
      <c r="F7" s="10"/>
      <c r="G7" s="10">
        <v>-0.0048</v>
      </c>
      <c r="H7">
        <f>H6+1</f>
        <v>2</v>
      </c>
      <c r="I7" s="8">
        <f t="shared" si="0"/>
        <v>0.3</v>
      </c>
    </row>
    <row r="8" spans="1:9" ht="12.75">
      <c r="A8" s="8">
        <f>A7+0.05</f>
        <v>0.35</v>
      </c>
      <c r="B8" s="10">
        <v>0.0073</v>
      </c>
      <c r="C8" s="10"/>
      <c r="D8" s="10">
        <v>-0.1208</v>
      </c>
      <c r="E8" s="10">
        <v>0.0012</v>
      </c>
      <c r="F8" s="10"/>
      <c r="G8" s="10">
        <v>-0.0066</v>
      </c>
      <c r="H8">
        <f>H7+1</f>
        <v>3</v>
      </c>
      <c r="I8" s="8">
        <f t="shared" si="0"/>
        <v>0.35</v>
      </c>
    </row>
    <row r="9" spans="1:9" ht="12.75">
      <c r="A9" s="8">
        <f aca="true" t="shared" si="1" ref="A9:A21">A8+0.05</f>
        <v>0.39999999999999997</v>
      </c>
      <c r="B9" s="10">
        <v>0.01</v>
      </c>
      <c r="C9" s="10"/>
      <c r="D9" s="10">
        <v>-0.1075</v>
      </c>
      <c r="E9" s="10">
        <v>0.0018</v>
      </c>
      <c r="F9" s="10"/>
      <c r="G9" s="10">
        <v>-0.0084</v>
      </c>
      <c r="H9">
        <f>H8+1</f>
        <v>4</v>
      </c>
      <c r="I9" s="8">
        <f t="shared" si="0"/>
        <v>0.39999999999999997</v>
      </c>
    </row>
    <row r="10" spans="1:9" ht="12.75">
      <c r="A10" s="8">
        <f t="shared" si="1"/>
        <v>0.44999999999999996</v>
      </c>
      <c r="B10" s="10">
        <v>0.0118</v>
      </c>
      <c r="C10" s="10"/>
      <c r="D10" s="10">
        <v>-0.0953</v>
      </c>
      <c r="E10" s="10">
        <v>0.0026</v>
      </c>
      <c r="F10" s="10"/>
      <c r="G10" s="10">
        <v>-0.0104</v>
      </c>
      <c r="H10">
        <f aca="true" t="shared" si="2" ref="H10:H23">H9+1</f>
        <v>5</v>
      </c>
      <c r="I10" s="8">
        <f t="shared" si="0"/>
        <v>0.44999999999999996</v>
      </c>
    </row>
    <row r="11" spans="1:9" ht="12.75">
      <c r="A11" s="8">
        <f t="shared" si="1"/>
        <v>0.49999999999999994</v>
      </c>
      <c r="B11" s="10">
        <v>0.0128</v>
      </c>
      <c r="C11" s="10"/>
      <c r="D11" s="10">
        <v>-0.0848</v>
      </c>
      <c r="E11" s="10">
        <v>0.0034</v>
      </c>
      <c r="F11" s="10"/>
      <c r="G11" s="10">
        <v>-0.0124</v>
      </c>
      <c r="H11">
        <f t="shared" si="2"/>
        <v>6</v>
      </c>
      <c r="I11" s="8">
        <f t="shared" si="0"/>
        <v>0.49999999999999994</v>
      </c>
    </row>
    <row r="12" spans="1:9" ht="12.75">
      <c r="A12" s="8">
        <f t="shared" si="1"/>
        <v>0.5499999999999999</v>
      </c>
      <c r="B12" s="10">
        <v>0.0135</v>
      </c>
      <c r="C12" s="10"/>
      <c r="D12" s="10">
        <v>-0.0757</v>
      </c>
      <c r="E12" s="10">
        <v>0.0042</v>
      </c>
      <c r="F12" s="10"/>
      <c r="G12" s="10">
        <v>-0.0145</v>
      </c>
      <c r="H12">
        <f t="shared" si="2"/>
        <v>7</v>
      </c>
      <c r="I12" s="8">
        <f t="shared" si="0"/>
        <v>0.5499999999999999</v>
      </c>
    </row>
    <row r="13" spans="1:9" ht="12.75">
      <c r="A13" s="8">
        <f t="shared" si="1"/>
        <v>0.6</v>
      </c>
      <c r="B13" s="10">
        <v>0.0139</v>
      </c>
      <c r="C13" s="10"/>
      <c r="D13" s="10">
        <v>-0.0683</v>
      </c>
      <c r="E13" s="10">
        <v>0.005</v>
      </c>
      <c r="F13" s="10"/>
      <c r="G13" s="10">
        <v>-0.0166</v>
      </c>
      <c r="H13">
        <f t="shared" si="2"/>
        <v>8</v>
      </c>
      <c r="I13" s="8">
        <f t="shared" si="0"/>
        <v>0.6</v>
      </c>
    </row>
    <row r="14" spans="1:9" ht="12.75">
      <c r="A14" s="8">
        <f t="shared" si="1"/>
        <v>0.65</v>
      </c>
      <c r="B14" s="10">
        <v>0.0135</v>
      </c>
      <c r="C14" s="10"/>
      <c r="D14" s="10">
        <v>-0.062</v>
      </c>
      <c r="E14" s="10">
        <v>0.0058</v>
      </c>
      <c r="F14" s="10"/>
      <c r="G14" s="10">
        <v>-0.0186</v>
      </c>
      <c r="H14">
        <f t="shared" si="2"/>
        <v>9</v>
      </c>
      <c r="I14" s="8">
        <f t="shared" si="0"/>
        <v>0.65</v>
      </c>
    </row>
    <row r="15" spans="1:9" ht="12.75">
      <c r="A15" s="8">
        <f t="shared" si="1"/>
        <v>0.7000000000000001</v>
      </c>
      <c r="B15" s="10">
        <v>0.0126</v>
      </c>
      <c r="C15" s="10"/>
      <c r="D15" s="10">
        <v>-0.0565</v>
      </c>
      <c r="E15" s="10">
        <v>0.0067</v>
      </c>
      <c r="F15" s="10"/>
      <c r="G15" s="10">
        <v>-0.0205</v>
      </c>
      <c r="H15">
        <f t="shared" si="2"/>
        <v>10</v>
      </c>
      <c r="I15" s="8">
        <f t="shared" si="0"/>
        <v>0.7000000000000001</v>
      </c>
    </row>
    <row r="16" spans="1:9" ht="12.75">
      <c r="A16" s="8">
        <f t="shared" si="1"/>
        <v>0.7500000000000001</v>
      </c>
      <c r="B16" s="10">
        <v>0.0115</v>
      </c>
      <c r="C16" s="10"/>
      <c r="D16" s="10">
        <v>-0.0517</v>
      </c>
      <c r="E16" s="10">
        <v>0.0076</v>
      </c>
      <c r="F16" s="10"/>
      <c r="G16" s="10">
        <v>-0.0222</v>
      </c>
      <c r="H16">
        <f t="shared" si="2"/>
        <v>11</v>
      </c>
      <c r="I16" s="8">
        <f t="shared" si="0"/>
        <v>0.7500000000000001</v>
      </c>
    </row>
    <row r="17" spans="1:9" ht="12.75">
      <c r="A17" s="8">
        <f t="shared" si="1"/>
        <v>0.8000000000000002</v>
      </c>
      <c r="B17" s="10">
        <v>0.0105</v>
      </c>
      <c r="C17" s="10"/>
      <c r="D17" s="10">
        <v>-0.0475</v>
      </c>
      <c r="E17" s="10">
        <v>0.0085</v>
      </c>
      <c r="F17" s="10"/>
      <c r="G17" s="10">
        <v>-0.0238</v>
      </c>
      <c r="H17">
        <f t="shared" si="2"/>
        <v>12</v>
      </c>
      <c r="I17" s="8">
        <f t="shared" si="0"/>
        <v>0.8000000000000002</v>
      </c>
    </row>
    <row r="18" spans="1:9" ht="12.75">
      <c r="A18" s="8">
        <f t="shared" si="1"/>
        <v>0.8500000000000002</v>
      </c>
      <c r="B18" s="10">
        <v>0.0095</v>
      </c>
      <c r="C18" s="10"/>
      <c r="D18" s="10">
        <v>-0.0438</v>
      </c>
      <c r="E18" s="10">
        <v>0.0094</v>
      </c>
      <c r="F18" s="10"/>
      <c r="G18" s="10">
        <v>-0.0254</v>
      </c>
      <c r="H18">
        <f t="shared" si="2"/>
        <v>13</v>
      </c>
      <c r="I18" s="8">
        <f t="shared" si="0"/>
        <v>0.8500000000000002</v>
      </c>
    </row>
    <row r="19" spans="1:9" ht="12.75">
      <c r="A19" s="8">
        <f t="shared" si="1"/>
        <v>0.9000000000000002</v>
      </c>
      <c r="B19" s="10">
        <v>0.0088</v>
      </c>
      <c r="C19" s="10"/>
      <c r="D19" s="10">
        <v>-0.0406</v>
      </c>
      <c r="E19" s="10">
        <v>0.0102</v>
      </c>
      <c r="F19" s="10"/>
      <c r="G19" s="10">
        <v>-0.0269</v>
      </c>
      <c r="H19">
        <f t="shared" si="2"/>
        <v>14</v>
      </c>
      <c r="I19" s="8">
        <f t="shared" si="0"/>
        <v>0.9000000000000002</v>
      </c>
    </row>
    <row r="20" spans="1:9" ht="12.75">
      <c r="A20" s="8">
        <f t="shared" si="1"/>
        <v>0.9500000000000003</v>
      </c>
      <c r="B20" s="10">
        <v>0.0078</v>
      </c>
      <c r="C20" s="10"/>
      <c r="D20" s="10">
        <v>-0.0376</v>
      </c>
      <c r="E20" s="10">
        <v>0.011</v>
      </c>
      <c r="F20" s="10"/>
      <c r="G20" s="10">
        <v>-0.0283</v>
      </c>
      <c r="H20">
        <f t="shared" si="2"/>
        <v>15</v>
      </c>
      <c r="I20" s="8">
        <f t="shared" si="0"/>
        <v>0.9500000000000003</v>
      </c>
    </row>
    <row r="21" spans="1:9" ht="12.75">
      <c r="A21" s="8">
        <f t="shared" si="1"/>
        <v>1.0000000000000002</v>
      </c>
      <c r="B21" s="10">
        <v>0.007</v>
      </c>
      <c r="C21" s="10"/>
      <c r="D21" s="10">
        <v>-0.0349</v>
      </c>
      <c r="E21" s="10">
        <v>0.0118</v>
      </c>
      <c r="F21" s="10"/>
      <c r="G21" s="10">
        <v>-0.0297</v>
      </c>
      <c r="H21">
        <f t="shared" si="2"/>
        <v>16</v>
      </c>
      <c r="I21" s="8">
        <f t="shared" si="0"/>
        <v>1.0000000000000002</v>
      </c>
    </row>
    <row r="22" spans="1:9" ht="12.75">
      <c r="A22" s="8">
        <f>A21+0.1</f>
        <v>1.1000000000000003</v>
      </c>
      <c r="B22" s="10">
        <v>0.0056</v>
      </c>
      <c r="C22" s="10"/>
      <c r="D22" s="10">
        <v>-0.0296</v>
      </c>
      <c r="E22" s="10">
        <v>0.0126</v>
      </c>
      <c r="F22" s="10"/>
      <c r="G22" s="10">
        <v>-0.0319</v>
      </c>
      <c r="H22">
        <f t="shared" si="2"/>
        <v>17</v>
      </c>
      <c r="I22" s="8">
        <f t="shared" si="0"/>
        <v>1.1000000000000003</v>
      </c>
    </row>
    <row r="23" spans="1:9" ht="12.75">
      <c r="A23" s="8">
        <f>A22+0.1</f>
        <v>1.2000000000000004</v>
      </c>
      <c r="B23" s="10">
        <v>0.0044</v>
      </c>
      <c r="C23" s="10"/>
      <c r="D23" s="10">
        <v>-0.026</v>
      </c>
      <c r="E23" s="10">
        <v>0.0134</v>
      </c>
      <c r="F23" s="10"/>
      <c r="G23" s="10">
        <v>-0.0338</v>
      </c>
      <c r="H23">
        <f t="shared" si="2"/>
        <v>18</v>
      </c>
      <c r="I23" s="8">
        <f t="shared" si="0"/>
        <v>1.2000000000000004</v>
      </c>
    </row>
    <row r="24" spans="1:9" ht="12.75">
      <c r="A24" s="8">
        <f>A23+0.1</f>
        <v>1.3000000000000005</v>
      </c>
      <c r="B24" s="10">
        <v>0.0034</v>
      </c>
      <c r="C24" s="10"/>
      <c r="D24" s="10">
        <v>-0.0231</v>
      </c>
      <c r="E24" s="10">
        <v>0.0142</v>
      </c>
      <c r="F24" s="10"/>
      <c r="G24" s="10">
        <v>-0.0354</v>
      </c>
      <c r="H24">
        <f aca="true" t="shared" si="3" ref="H24:H29">H23+1</f>
        <v>19</v>
      </c>
      <c r="I24" s="8">
        <f t="shared" si="0"/>
        <v>1.3000000000000005</v>
      </c>
    </row>
    <row r="25" spans="1:9" ht="12.75">
      <c r="A25" s="8">
        <f>A24+0.1</f>
        <v>1.4000000000000006</v>
      </c>
      <c r="B25" s="10">
        <v>0.0025</v>
      </c>
      <c r="C25" s="10"/>
      <c r="D25" s="10">
        <v>-0.0206</v>
      </c>
      <c r="E25" s="10">
        <v>0.015</v>
      </c>
      <c r="F25" s="10"/>
      <c r="G25" s="10">
        <v>-0.0367</v>
      </c>
      <c r="H25">
        <f t="shared" si="3"/>
        <v>20</v>
      </c>
      <c r="I25" s="8">
        <f t="shared" si="0"/>
        <v>1.4000000000000006</v>
      </c>
    </row>
    <row r="26" spans="1:9" ht="12.75">
      <c r="A26" s="8">
        <f>A25+0.1</f>
        <v>1.5000000000000007</v>
      </c>
      <c r="B26" s="10">
        <v>0.0018</v>
      </c>
      <c r="C26" s="10"/>
      <c r="D26" s="10">
        <v>-0.0186</v>
      </c>
      <c r="E26" s="10">
        <v>0.0158</v>
      </c>
      <c r="F26" s="10"/>
      <c r="G26" s="10">
        <v>-0.0378</v>
      </c>
      <c r="H26">
        <f t="shared" si="3"/>
        <v>21</v>
      </c>
      <c r="I26" s="8">
        <f t="shared" si="0"/>
        <v>1.5000000000000007</v>
      </c>
    </row>
    <row r="27" spans="1:9" ht="12.75">
      <c r="A27" s="8">
        <v>1.75</v>
      </c>
      <c r="B27" s="10">
        <v>0.0009</v>
      </c>
      <c r="C27" s="10"/>
      <c r="D27" s="10">
        <v>-0.0148</v>
      </c>
      <c r="E27" s="10">
        <v>0.0179</v>
      </c>
      <c r="F27" s="10"/>
      <c r="G27" s="10">
        <v>-0.0399</v>
      </c>
      <c r="H27">
        <f t="shared" si="3"/>
        <v>22</v>
      </c>
      <c r="I27" s="8">
        <f t="shared" si="0"/>
        <v>1.75</v>
      </c>
    </row>
    <row r="28" spans="1:9" ht="12.75">
      <c r="A28" s="8">
        <v>2</v>
      </c>
      <c r="B28" s="10">
        <v>0.0004</v>
      </c>
      <c r="C28" s="10"/>
      <c r="D28" s="10">
        <v>-0.0119</v>
      </c>
      <c r="E28" s="10">
        <v>0.0203</v>
      </c>
      <c r="F28" s="10"/>
      <c r="G28" s="10">
        <v>-0.0413</v>
      </c>
      <c r="H28">
        <f t="shared" si="3"/>
        <v>23</v>
      </c>
      <c r="I28" s="8">
        <f t="shared" si="0"/>
        <v>2</v>
      </c>
    </row>
    <row r="29" spans="1:9" ht="12.75">
      <c r="A29" s="8">
        <v>10</v>
      </c>
      <c r="B29" s="10"/>
      <c r="C29" s="10"/>
      <c r="D29" s="10"/>
      <c r="E29" s="10"/>
      <c r="F29" s="10"/>
      <c r="G29" s="10"/>
      <c r="H29">
        <f t="shared" si="3"/>
        <v>24</v>
      </c>
      <c r="I29" s="8">
        <f t="shared" si="0"/>
        <v>10</v>
      </c>
    </row>
    <row r="30" spans="1:7" ht="12.75">
      <c r="A30" s="8"/>
      <c r="B30" s="10"/>
      <c r="C30" s="10"/>
      <c r="D30" s="10"/>
      <c r="E30" s="10"/>
      <c r="F30" s="10"/>
      <c r="G30" s="10"/>
    </row>
    <row r="31" spans="1:7" ht="12.75">
      <c r="A31" s="8"/>
      <c r="B31" s="10"/>
      <c r="C31" s="10"/>
      <c r="D31" s="10"/>
      <c r="E31" s="10"/>
      <c r="F31" s="10"/>
      <c r="G31" s="10"/>
    </row>
    <row r="32" spans="1:7" ht="12.75">
      <c r="A32" s="8"/>
      <c r="B32" s="10"/>
      <c r="C32" s="10"/>
      <c r="D32" s="10"/>
      <c r="E32" s="10"/>
      <c r="F32" s="10"/>
      <c r="G32" s="10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K53"/>
  <sheetViews>
    <sheetView workbookViewId="0" topLeftCell="A3">
      <selection activeCell="D21" sqref="D21"/>
    </sheetView>
  </sheetViews>
  <sheetFormatPr defaultColWidth="8.7109375" defaultRowHeight="12.75"/>
  <cols>
    <col min="1" max="12" width="8.28125" style="0" customWidth="1"/>
    <col min="13" max="16384" width="11.421875" customWidth="1"/>
  </cols>
  <sheetData>
    <row r="1" spans="1:9" ht="12.75">
      <c r="A1" t="s">
        <v>161</v>
      </c>
      <c r="C1">
        <v>1.82</v>
      </c>
      <c r="E1" t="s">
        <v>206</v>
      </c>
      <c r="G1" s="105"/>
      <c r="H1" s="90" t="s">
        <v>192</v>
      </c>
      <c r="I1" t="s">
        <v>193</v>
      </c>
    </row>
    <row r="4" spans="1:10" ht="12.75">
      <c r="A4" s="9" t="s">
        <v>164</v>
      </c>
      <c r="B4" s="106">
        <v>0</v>
      </c>
      <c r="C4" s="8">
        <v>0.25</v>
      </c>
      <c r="D4" s="8">
        <v>0.5</v>
      </c>
      <c r="E4" s="8">
        <v>0.75</v>
      </c>
      <c r="F4" s="8">
        <v>1</v>
      </c>
      <c r="G4" s="8">
        <v>1.5</v>
      </c>
      <c r="H4" s="8">
        <v>2</v>
      </c>
      <c r="I4" s="1">
        <v>3</v>
      </c>
      <c r="J4" s="107">
        <v>10</v>
      </c>
    </row>
    <row r="5" spans="1:11" ht="15.75">
      <c r="A5" s="7" t="s">
        <v>165</v>
      </c>
      <c r="B5" s="7"/>
      <c r="C5" s="10"/>
      <c r="D5" s="10"/>
      <c r="E5" s="10"/>
      <c r="F5" s="10"/>
      <c r="G5" s="10"/>
      <c r="H5" s="52"/>
      <c r="I5" s="52"/>
      <c r="J5" s="52"/>
      <c r="K5">
        <v>1</v>
      </c>
    </row>
    <row r="6" spans="1:11" ht="15.75">
      <c r="A6" s="7" t="s">
        <v>166</v>
      </c>
      <c r="B6" s="7"/>
      <c r="C6" s="10"/>
      <c r="D6" s="10"/>
      <c r="E6" s="10"/>
      <c r="F6" s="10"/>
      <c r="G6" s="10"/>
      <c r="H6" s="52"/>
      <c r="I6" s="52"/>
      <c r="J6" s="52"/>
      <c r="K6">
        <f aca="true" t="shared" si="0" ref="K6:K36">K5+1</f>
        <v>2</v>
      </c>
    </row>
    <row r="7" spans="1:11" ht="15.75">
      <c r="A7" s="7" t="s">
        <v>167</v>
      </c>
      <c r="B7" s="109">
        <v>-0.0167</v>
      </c>
      <c r="C7" s="10">
        <v>-0.016</v>
      </c>
      <c r="D7" s="10">
        <v>-0.0168</v>
      </c>
      <c r="E7" s="10">
        <v>-0.0205</v>
      </c>
      <c r="F7" s="10">
        <v>-0.0139</v>
      </c>
      <c r="G7" s="52">
        <v>-0.00803</v>
      </c>
      <c r="H7" s="52">
        <v>-0.00218</v>
      </c>
      <c r="I7" s="52">
        <v>-0.00161</v>
      </c>
      <c r="J7" s="108">
        <v>0</v>
      </c>
      <c r="K7">
        <f t="shared" si="0"/>
        <v>3</v>
      </c>
    </row>
    <row r="8" spans="1:11" ht="15.75">
      <c r="A8" s="7" t="s">
        <v>168</v>
      </c>
      <c r="B8" s="109">
        <v>0.0083</v>
      </c>
      <c r="C8" s="10">
        <v>0.008</v>
      </c>
      <c r="D8" s="10">
        <v>0.0084</v>
      </c>
      <c r="E8" s="10">
        <v>0.0104</v>
      </c>
      <c r="F8" s="10">
        <v>0.0067</v>
      </c>
      <c r="G8" s="52">
        <v>0.00328</v>
      </c>
      <c r="H8" s="52">
        <v>0.00152</v>
      </c>
      <c r="I8" s="52">
        <v>0.00049</v>
      </c>
      <c r="J8" s="108">
        <v>0</v>
      </c>
      <c r="K8">
        <f t="shared" si="0"/>
        <v>4</v>
      </c>
    </row>
    <row r="9" spans="1:11" ht="15.75">
      <c r="A9" s="7" t="s">
        <v>169</v>
      </c>
      <c r="B9" s="109">
        <v>-0.0333</v>
      </c>
      <c r="C9" s="10">
        <v>-0.0336</v>
      </c>
      <c r="D9" s="10">
        <v>-0.0328</v>
      </c>
      <c r="E9" s="10">
        <v>-0.0382</v>
      </c>
      <c r="F9" s="10">
        <v>-0.0245</v>
      </c>
      <c r="G9" s="52">
        <v>-0.01335</v>
      </c>
      <c r="H9" s="52">
        <v>-0.00724</v>
      </c>
      <c r="I9" s="52">
        <v>-0.00258</v>
      </c>
      <c r="J9" s="108">
        <v>0</v>
      </c>
      <c r="K9">
        <f t="shared" si="0"/>
        <v>5</v>
      </c>
    </row>
    <row r="10" spans="1:11" ht="15.75">
      <c r="A10" s="7" t="s">
        <v>170</v>
      </c>
      <c r="B10" s="109">
        <v>0.0167</v>
      </c>
      <c r="C10" s="10">
        <v>0.0176</v>
      </c>
      <c r="D10" s="10">
        <v>0.0162</v>
      </c>
      <c r="E10" s="10">
        <v>0.0189</v>
      </c>
      <c r="F10" s="10">
        <v>0.0114</v>
      </c>
      <c r="G10" s="52">
        <v>0.00527</v>
      </c>
      <c r="H10" s="52">
        <v>0.0024</v>
      </c>
      <c r="I10" s="52">
        <v>0.00077</v>
      </c>
      <c r="J10" s="108">
        <v>0</v>
      </c>
      <c r="K10">
        <f t="shared" si="0"/>
        <v>6</v>
      </c>
    </row>
    <row r="11" spans="1:11" ht="15.75">
      <c r="A11" s="7" t="s">
        <v>171</v>
      </c>
      <c r="B11" s="109">
        <v>-0.05</v>
      </c>
      <c r="C11" s="10">
        <v>-0.0496</v>
      </c>
      <c r="D11" s="10">
        <v>-0.0456</v>
      </c>
      <c r="E11" s="10">
        <v>-0.0466</v>
      </c>
      <c r="F11" s="10">
        <v>-0.0269</v>
      </c>
      <c r="G11" s="52">
        <v>-0.0134</v>
      </c>
      <c r="H11" s="52">
        <v>-0.007</v>
      </c>
      <c r="I11" s="52">
        <v>-0.00244</v>
      </c>
      <c r="J11" s="108">
        <v>0</v>
      </c>
      <c r="K11">
        <f t="shared" si="0"/>
        <v>7</v>
      </c>
    </row>
    <row r="12" spans="1:11" ht="15.75">
      <c r="A12" s="7" t="s">
        <v>172</v>
      </c>
      <c r="B12" s="109">
        <v>0.025</v>
      </c>
      <c r="C12" s="10">
        <v>0.0256</v>
      </c>
      <c r="D12" s="10">
        <v>0.0228</v>
      </c>
      <c r="E12" s="10">
        <v>0.022</v>
      </c>
      <c r="F12" s="10">
        <v>0.0119</v>
      </c>
      <c r="G12" s="52">
        <v>0.00483</v>
      </c>
      <c r="H12" s="52">
        <v>0.0021</v>
      </c>
      <c r="I12" s="52">
        <v>0.00065</v>
      </c>
      <c r="J12" s="108">
        <v>0</v>
      </c>
      <c r="K12">
        <f t="shared" si="0"/>
        <v>8</v>
      </c>
    </row>
    <row r="13" spans="1:11" ht="15.75">
      <c r="A13" s="7" t="s">
        <v>173</v>
      </c>
      <c r="B13" s="109">
        <v>-0.0667</v>
      </c>
      <c r="C13" s="10">
        <v>-0.0608</v>
      </c>
      <c r="D13" s="10">
        <v>-0.0408</v>
      </c>
      <c r="E13" s="10">
        <v>-0.0326</v>
      </c>
      <c r="F13" s="10">
        <v>-0.0159</v>
      </c>
      <c r="G13" s="52">
        <v>-0.00688</v>
      </c>
      <c r="H13" s="52">
        <v>-0.00343</v>
      </c>
      <c r="I13" s="52">
        <v>-0.00112</v>
      </c>
      <c r="J13" s="108">
        <v>0</v>
      </c>
      <c r="K13">
        <f t="shared" si="0"/>
        <v>9</v>
      </c>
    </row>
    <row r="14" spans="1:11" ht="15.75">
      <c r="A14" s="7" t="s">
        <v>174</v>
      </c>
      <c r="B14" s="109">
        <v>0.0333</v>
      </c>
      <c r="C14" s="10">
        <v>0.0304</v>
      </c>
      <c r="D14" s="10">
        <v>0.0188</v>
      </c>
      <c r="E14" s="10">
        <v>0.0137</v>
      </c>
      <c r="F14" s="10">
        <v>0.0057</v>
      </c>
      <c r="G14" s="52">
        <v>0.00142</v>
      </c>
      <c r="H14" s="52">
        <v>0.0003</v>
      </c>
      <c r="I14" s="52">
        <v>4E-05</v>
      </c>
      <c r="J14" s="108">
        <v>0</v>
      </c>
      <c r="K14">
        <f t="shared" si="0"/>
        <v>10</v>
      </c>
    </row>
    <row r="15" spans="1:11" ht="12.75">
      <c r="A15" s="7"/>
      <c r="B15" s="7"/>
      <c r="C15" s="10"/>
      <c r="D15" s="10"/>
      <c r="E15" s="10"/>
      <c r="F15" s="10"/>
      <c r="G15" s="10"/>
      <c r="H15" s="52"/>
      <c r="I15" s="52"/>
      <c r="J15" s="52"/>
      <c r="K15">
        <f t="shared" si="0"/>
        <v>11</v>
      </c>
    </row>
    <row r="16" spans="1:11" ht="15.75">
      <c r="A16" s="7" t="s">
        <v>175</v>
      </c>
      <c r="B16" s="109">
        <v>0</v>
      </c>
      <c r="C16" s="10">
        <v>0.0001</v>
      </c>
      <c r="D16" s="10">
        <v>0.0005</v>
      </c>
      <c r="E16" s="10">
        <v>0.0016</v>
      </c>
      <c r="F16" s="10">
        <v>0.0044</v>
      </c>
      <c r="G16" s="10">
        <v>0.0113</v>
      </c>
      <c r="H16" s="10">
        <v>0.0158</v>
      </c>
      <c r="I16" s="10">
        <v>0.0187</v>
      </c>
      <c r="J16" s="109">
        <v>0.0187</v>
      </c>
      <c r="K16">
        <f t="shared" si="0"/>
        <v>12</v>
      </c>
    </row>
    <row r="17" spans="1:11" ht="15.75">
      <c r="A17" s="7" t="s">
        <v>176</v>
      </c>
      <c r="B17" s="109">
        <v>0</v>
      </c>
      <c r="C17" s="10">
        <v>0.0002</v>
      </c>
      <c r="D17" s="10">
        <v>0.0011</v>
      </c>
      <c r="E17" s="10">
        <v>0.0038</v>
      </c>
      <c r="F17" s="10">
        <v>0.0089</v>
      </c>
      <c r="G17" s="10">
        <v>0.0196</v>
      </c>
      <c r="H17" s="10">
        <v>0.0259</v>
      </c>
      <c r="I17" s="10">
        <v>0.0297</v>
      </c>
      <c r="J17" s="109">
        <v>0.0293</v>
      </c>
      <c r="K17">
        <f t="shared" si="0"/>
        <v>13</v>
      </c>
    </row>
    <row r="18" spans="1:11" ht="15.75">
      <c r="A18" s="7" t="s">
        <v>177</v>
      </c>
      <c r="B18" s="109">
        <v>0</v>
      </c>
      <c r="C18" s="10">
        <v>0.0003</v>
      </c>
      <c r="D18" s="10">
        <v>0.0021</v>
      </c>
      <c r="E18" s="10">
        <v>0.0063</v>
      </c>
      <c r="F18" s="10">
        <v>0.0116</v>
      </c>
      <c r="G18" s="10">
        <v>0.0198</v>
      </c>
      <c r="H18" s="10">
        <v>0.0235</v>
      </c>
      <c r="I18" s="10">
        <v>0.0253</v>
      </c>
      <c r="J18" s="109">
        <v>0.024</v>
      </c>
      <c r="K18">
        <f t="shared" si="0"/>
        <v>14</v>
      </c>
    </row>
    <row r="19" spans="1:11" ht="15.75">
      <c r="A19" s="7" t="s">
        <v>178</v>
      </c>
      <c r="B19" s="109">
        <v>0</v>
      </c>
      <c r="C19" s="10">
        <v>0.0006</v>
      </c>
      <c r="D19" s="10">
        <v>0.0031</v>
      </c>
      <c r="E19" s="10">
        <v>0.0052</v>
      </c>
      <c r="F19" s="10">
        <v>0.0052</v>
      </c>
      <c r="G19" s="10">
        <v>0.0021</v>
      </c>
      <c r="H19" s="10">
        <v>-0.0007</v>
      </c>
      <c r="I19" s="10">
        <v>-0.0029</v>
      </c>
      <c r="J19" s="109">
        <v>-0.0053</v>
      </c>
      <c r="K19">
        <f t="shared" si="0"/>
        <v>15</v>
      </c>
    </row>
    <row r="20" spans="1:11" ht="15.75">
      <c r="A20" s="7" t="s">
        <v>179</v>
      </c>
      <c r="B20" s="109">
        <v>0</v>
      </c>
      <c r="C20" s="10">
        <v>-0.0023</v>
      </c>
      <c r="D20" s="10">
        <v>-0.0081</v>
      </c>
      <c r="E20" s="10">
        <v>-0.0153</v>
      </c>
      <c r="F20" s="10">
        <v>-0.025</v>
      </c>
      <c r="G20" s="10">
        <v>-0.0417</v>
      </c>
      <c r="H20" s="10">
        <v>-0.0519</v>
      </c>
      <c r="I20" s="10">
        <v>-0.0606</v>
      </c>
      <c r="J20" s="109">
        <v>-0.0667</v>
      </c>
      <c r="K20">
        <f t="shared" si="0"/>
        <v>16</v>
      </c>
    </row>
    <row r="21" spans="1:11" ht="15.75">
      <c r="A21" s="7" t="s">
        <v>180</v>
      </c>
      <c r="B21" s="109">
        <v>0</v>
      </c>
      <c r="C21" s="10">
        <v>-0.0028</v>
      </c>
      <c r="D21" s="10">
        <v>-0.01</v>
      </c>
      <c r="E21" s="10">
        <v>-0.0188</v>
      </c>
      <c r="F21" s="10">
        <v>-0.0302</v>
      </c>
      <c r="G21" s="10">
        <v>-0.0484</v>
      </c>
      <c r="H21" s="10">
        <v>-0.0576</v>
      </c>
      <c r="I21" s="10">
        <v>-0.0631</v>
      </c>
      <c r="J21" s="109">
        <v>-0.0667</v>
      </c>
      <c r="K21">
        <f t="shared" si="0"/>
        <v>17</v>
      </c>
    </row>
    <row r="22" spans="1:11" ht="15.75">
      <c r="A22" s="7" t="s">
        <v>181</v>
      </c>
      <c r="B22" s="109">
        <v>0</v>
      </c>
      <c r="C22" s="10">
        <v>-0.003</v>
      </c>
      <c r="D22" s="10">
        <v>-0.0107</v>
      </c>
      <c r="E22" s="10">
        <v>-0.02</v>
      </c>
      <c r="F22" s="10">
        <v>-0.032</v>
      </c>
      <c r="G22" s="10">
        <v>-0.0505</v>
      </c>
      <c r="H22" s="10">
        <v>-0.0593</v>
      </c>
      <c r="I22" s="10">
        <v>-0.0637</v>
      </c>
      <c r="J22" s="109">
        <v>-0.0667</v>
      </c>
      <c r="K22">
        <f t="shared" si="0"/>
        <v>18</v>
      </c>
    </row>
    <row r="23" spans="1:11" ht="12.75">
      <c r="A23" s="7"/>
      <c r="B23" s="7"/>
      <c r="C23" s="10"/>
      <c r="D23" s="10"/>
      <c r="E23" s="10"/>
      <c r="F23" s="10"/>
      <c r="G23" s="10"/>
      <c r="H23" s="10"/>
      <c r="I23" s="10"/>
      <c r="J23" s="10"/>
      <c r="K23">
        <f t="shared" si="0"/>
        <v>19</v>
      </c>
    </row>
    <row r="24" spans="1:11" ht="15.75">
      <c r="A24" s="7" t="s">
        <v>182</v>
      </c>
      <c r="B24" s="109">
        <v>0</v>
      </c>
      <c r="C24" s="10">
        <v>-0.0012</v>
      </c>
      <c r="D24" s="10">
        <v>-0.0122</v>
      </c>
      <c r="E24" s="10">
        <v>-0.0306</v>
      </c>
      <c r="F24" s="10">
        <v>-0.0396</v>
      </c>
      <c r="G24" s="10">
        <v>-0.0448</v>
      </c>
      <c r="H24" s="10">
        <v>-0.0382</v>
      </c>
      <c r="I24" s="10">
        <v>-0.0248</v>
      </c>
      <c r="J24" s="109">
        <v>-0.0248</v>
      </c>
      <c r="K24">
        <f t="shared" si="0"/>
        <v>20</v>
      </c>
    </row>
    <row r="25" spans="1:11" ht="15.75">
      <c r="A25" s="7" t="s">
        <v>183</v>
      </c>
      <c r="B25" s="109">
        <v>0.1</v>
      </c>
      <c r="C25" s="10">
        <v>0.1</v>
      </c>
      <c r="D25" s="10">
        <v>0.101</v>
      </c>
      <c r="E25" s="10">
        <v>0.1182</v>
      </c>
      <c r="F25" s="10">
        <v>0.1042</v>
      </c>
      <c r="G25" s="10">
        <v>0.085</v>
      </c>
      <c r="H25" s="10">
        <v>0.065</v>
      </c>
      <c r="I25" s="10">
        <v>0.0418</v>
      </c>
      <c r="J25" s="109">
        <v>0.0418</v>
      </c>
      <c r="K25">
        <f t="shared" si="0"/>
        <v>21</v>
      </c>
    </row>
    <row r="26" spans="1:11" ht="15.75">
      <c r="A26" s="7" t="s">
        <v>184</v>
      </c>
      <c r="B26" s="109">
        <v>0.2</v>
      </c>
      <c r="C26" s="10">
        <v>0.2</v>
      </c>
      <c r="D26" s="10">
        <v>0.204</v>
      </c>
      <c r="E26" s="10">
        <v>0.2332</v>
      </c>
      <c r="F26" s="10">
        <v>0.1956</v>
      </c>
      <c r="G26" s="10">
        <v>0.1513</v>
      </c>
      <c r="H26" s="10">
        <v>0.1144</v>
      </c>
      <c r="I26" s="10">
        <v>0.0736</v>
      </c>
      <c r="J26" s="109">
        <v>0.0736</v>
      </c>
      <c r="K26">
        <f t="shared" si="0"/>
        <v>22</v>
      </c>
    </row>
    <row r="27" spans="1:11" ht="15.75">
      <c r="A27" s="7" t="s">
        <v>185</v>
      </c>
      <c r="B27" s="109">
        <v>0.3</v>
      </c>
      <c r="C27" s="10">
        <v>0.3008</v>
      </c>
      <c r="D27" s="10">
        <v>0.3034</v>
      </c>
      <c r="E27" s="10">
        <v>0.319</v>
      </c>
      <c r="F27" s="10">
        <v>0.245</v>
      </c>
      <c r="G27" s="10">
        <v>0.174</v>
      </c>
      <c r="H27" s="10">
        <v>0.1291</v>
      </c>
      <c r="I27" s="10">
        <v>0.0835</v>
      </c>
      <c r="J27" s="109">
        <v>0.0835</v>
      </c>
      <c r="K27">
        <f t="shared" si="0"/>
        <v>23</v>
      </c>
    </row>
    <row r="28" spans="1:11" ht="15.75">
      <c r="A28" s="7" t="s">
        <v>186</v>
      </c>
      <c r="B28" s="109">
        <v>0.4</v>
      </c>
      <c r="C28" s="10">
        <v>0.3772</v>
      </c>
      <c r="D28" s="10">
        <v>0.299</v>
      </c>
      <c r="E28" s="10">
        <v>0.2546</v>
      </c>
      <c r="F28" s="10">
        <v>0.1632</v>
      </c>
      <c r="G28" s="10">
        <v>0.0985</v>
      </c>
      <c r="H28" s="10">
        <v>0.0708</v>
      </c>
      <c r="I28" s="10">
        <v>0.0486</v>
      </c>
      <c r="J28" s="109">
        <v>0.0486</v>
      </c>
      <c r="K28">
        <f t="shared" si="0"/>
        <v>24</v>
      </c>
    </row>
    <row r="29" spans="1:11" ht="15.75">
      <c r="A29" s="7" t="s">
        <v>187</v>
      </c>
      <c r="B29" s="109">
        <v>0.5</v>
      </c>
      <c r="C29" s="10">
        <v>0.1832</v>
      </c>
      <c r="D29" s="10">
        <v>0.0608</v>
      </c>
      <c r="E29" s="10">
        <v>0.0153</v>
      </c>
      <c r="F29" s="10">
        <v>-0.004</v>
      </c>
      <c r="G29" s="10">
        <v>-0.0103</v>
      </c>
      <c r="H29" s="10">
        <v>-0.0074</v>
      </c>
      <c r="I29" s="10">
        <v>-0.0006</v>
      </c>
      <c r="J29" s="109">
        <v>-0.0006</v>
      </c>
      <c r="K29">
        <f t="shared" si="0"/>
        <v>25</v>
      </c>
    </row>
    <row r="30" spans="1:11" ht="12.75">
      <c r="A30" s="7"/>
      <c r="B30" s="7"/>
      <c r="C30" s="10"/>
      <c r="D30" s="10"/>
      <c r="E30" s="10"/>
      <c r="F30" s="10"/>
      <c r="G30" s="10"/>
      <c r="H30" s="10"/>
      <c r="I30" s="10"/>
      <c r="J30" s="10"/>
      <c r="K30">
        <f t="shared" si="0"/>
        <v>26</v>
      </c>
    </row>
    <row r="31" spans="1:11" ht="15.75">
      <c r="A31" s="7" t="s">
        <v>188</v>
      </c>
      <c r="B31" s="109">
        <v>0</v>
      </c>
      <c r="C31" s="10">
        <v>0.0835</v>
      </c>
      <c r="D31" s="10">
        <v>0.1563</v>
      </c>
      <c r="E31" s="10">
        <v>0.2157</v>
      </c>
      <c r="F31" s="10">
        <v>0.2705</v>
      </c>
      <c r="G31" s="10">
        <v>0.3424</v>
      </c>
      <c r="H31" s="10">
        <v>0.3761</v>
      </c>
      <c r="I31" s="10">
        <v>0.396</v>
      </c>
      <c r="J31" s="109">
        <v>0.4</v>
      </c>
      <c r="K31">
        <f t="shared" si="0"/>
        <v>27</v>
      </c>
    </row>
    <row r="32" spans="1:11" ht="15.75">
      <c r="A32" s="7" t="s">
        <v>189</v>
      </c>
      <c r="B32" s="109">
        <v>0</v>
      </c>
      <c r="C32" s="10">
        <v>0.1003</v>
      </c>
      <c r="D32" s="10">
        <v>0.1856</v>
      </c>
      <c r="E32" s="10">
        <v>0.2528</v>
      </c>
      <c r="F32" s="10">
        <v>0.3102</v>
      </c>
      <c r="G32" s="10">
        <v>0.3739</v>
      </c>
      <c r="H32" s="10">
        <v>0.3944</v>
      </c>
      <c r="I32" s="10">
        <v>0.3994</v>
      </c>
      <c r="J32" s="109">
        <v>0.4</v>
      </c>
      <c r="K32">
        <f t="shared" si="0"/>
        <v>28</v>
      </c>
    </row>
    <row r="33" spans="1:11" ht="15.75">
      <c r="A33" s="7" t="s">
        <v>190</v>
      </c>
      <c r="B33" s="109">
        <v>0</v>
      </c>
      <c r="C33" s="10">
        <v>0.1058</v>
      </c>
      <c r="D33" s="10">
        <v>0.195</v>
      </c>
      <c r="E33" s="10">
        <v>0.2647</v>
      </c>
      <c r="F33" s="10">
        <v>0.3225</v>
      </c>
      <c r="G33" s="10">
        <v>0.3828</v>
      </c>
      <c r="H33" s="10">
        <v>0.3988</v>
      </c>
      <c r="I33" s="10">
        <v>0.3997</v>
      </c>
      <c r="J33" s="109">
        <v>0.4</v>
      </c>
      <c r="K33">
        <f t="shared" si="0"/>
        <v>29</v>
      </c>
    </row>
    <row r="34" spans="1:11" ht="12.75">
      <c r="A34" s="7"/>
      <c r="B34" s="7"/>
      <c r="C34" s="10"/>
      <c r="D34" s="10"/>
      <c r="E34" s="10"/>
      <c r="F34" s="10"/>
      <c r="G34" s="10"/>
      <c r="H34" s="10"/>
      <c r="I34" s="10"/>
      <c r="J34" s="10"/>
      <c r="K34">
        <f t="shared" si="0"/>
        <v>30</v>
      </c>
    </row>
    <row r="35" spans="1:11" ht="12.75">
      <c r="A35" s="7"/>
      <c r="B35" s="110">
        <v>1</v>
      </c>
      <c r="C35" s="53">
        <f aca="true" t="shared" si="1" ref="C35:J35">B35+1</f>
        <v>2</v>
      </c>
      <c r="D35" s="53">
        <f t="shared" si="1"/>
        <v>3</v>
      </c>
      <c r="E35" s="53">
        <f t="shared" si="1"/>
        <v>4</v>
      </c>
      <c r="F35" s="53">
        <f t="shared" si="1"/>
        <v>5</v>
      </c>
      <c r="G35" s="53">
        <f t="shared" si="1"/>
        <v>6</v>
      </c>
      <c r="H35" s="53">
        <f t="shared" si="1"/>
        <v>7</v>
      </c>
      <c r="I35" s="53">
        <f t="shared" si="1"/>
        <v>8</v>
      </c>
      <c r="J35" s="110">
        <f t="shared" si="1"/>
        <v>9</v>
      </c>
      <c r="K35">
        <f t="shared" si="0"/>
        <v>31</v>
      </c>
    </row>
    <row r="36" spans="1:11" ht="12.75">
      <c r="A36" s="7"/>
      <c r="B36" s="107">
        <f aca="true" t="shared" si="2" ref="B36:J36">B4</f>
        <v>0</v>
      </c>
      <c r="C36" s="1">
        <f t="shared" si="2"/>
        <v>0.25</v>
      </c>
      <c r="D36" s="1">
        <f t="shared" si="2"/>
        <v>0.5</v>
      </c>
      <c r="E36" s="1">
        <f t="shared" si="2"/>
        <v>0.75</v>
      </c>
      <c r="F36" s="1">
        <f t="shared" si="2"/>
        <v>1</v>
      </c>
      <c r="G36" s="1">
        <f t="shared" si="2"/>
        <v>1.5</v>
      </c>
      <c r="H36" s="1">
        <f t="shared" si="2"/>
        <v>2</v>
      </c>
      <c r="I36" s="1">
        <f t="shared" si="2"/>
        <v>3</v>
      </c>
      <c r="J36" s="107">
        <f t="shared" si="2"/>
        <v>10</v>
      </c>
      <c r="K36">
        <f t="shared" si="0"/>
        <v>32</v>
      </c>
    </row>
    <row r="37" spans="1:8" ht="12.75">
      <c r="A37" s="8"/>
      <c r="B37" s="8"/>
      <c r="C37" s="10"/>
      <c r="D37" s="10"/>
      <c r="E37" s="10"/>
      <c r="F37" s="10"/>
      <c r="G37" s="10"/>
      <c r="H37" s="10"/>
    </row>
    <row r="38" spans="1:2" ht="12.75">
      <c r="A38" s="8"/>
      <c r="B38" s="8"/>
    </row>
    <row r="39" spans="1:10" ht="15.75">
      <c r="A39" s="8"/>
      <c r="B39" s="8"/>
      <c r="E39" s="18" t="s">
        <v>194</v>
      </c>
      <c r="F39" s="18" t="s">
        <v>207</v>
      </c>
      <c r="G39" s="18" t="s">
        <v>208</v>
      </c>
      <c r="H39" s="18" t="s">
        <v>208</v>
      </c>
      <c r="J39" s="18" t="s">
        <v>209</v>
      </c>
    </row>
    <row r="40" spans="1:11" ht="14.25">
      <c r="A40" s="8"/>
      <c r="B40" s="8"/>
      <c r="E40" s="8">
        <v>0</v>
      </c>
      <c r="F40" s="10">
        <f aca="true" t="shared" si="3" ref="F40:F45">E40*(3-E40^2*5)/30</f>
        <v>0</v>
      </c>
      <c r="G40" s="10">
        <f aca="true" t="shared" si="4" ref="G40:G45">-$E40/12</f>
        <v>0</v>
      </c>
      <c r="H40" s="10">
        <f aca="true" t="shared" si="5" ref="H40:H45">$E40/24</f>
        <v>0</v>
      </c>
      <c r="I40" t="s">
        <v>196</v>
      </c>
      <c r="J40" s="10">
        <f aca="true" t="shared" si="6" ref="J40:J45">E40/2</f>
        <v>0</v>
      </c>
      <c r="K40" t="s">
        <v>198</v>
      </c>
    </row>
    <row r="41" spans="1:11" ht="14.25">
      <c r="A41" s="8"/>
      <c r="B41" s="8"/>
      <c r="E41" s="8">
        <v>0.2</v>
      </c>
      <c r="F41" s="10">
        <f t="shared" si="3"/>
        <v>0.018666666666666665</v>
      </c>
      <c r="G41" s="10">
        <f t="shared" si="4"/>
        <v>-0.016666666666666666</v>
      </c>
      <c r="H41" s="10">
        <f t="shared" si="5"/>
        <v>0.008333333333333333</v>
      </c>
      <c r="I41" t="s">
        <v>196</v>
      </c>
      <c r="J41" s="10">
        <f t="shared" si="6"/>
        <v>0.1</v>
      </c>
      <c r="K41" t="s">
        <v>198</v>
      </c>
    </row>
    <row r="42" spans="1:11" ht="14.25">
      <c r="A42" s="8"/>
      <c r="B42" s="8"/>
      <c r="E42" s="8">
        <v>0.4</v>
      </c>
      <c r="F42" s="10">
        <f t="shared" si="3"/>
        <v>0.02933333333333333</v>
      </c>
      <c r="G42" s="10">
        <f t="shared" si="4"/>
        <v>-0.03333333333333333</v>
      </c>
      <c r="H42" s="10">
        <f t="shared" si="5"/>
        <v>0.016666666666666666</v>
      </c>
      <c r="I42" t="s">
        <v>196</v>
      </c>
      <c r="J42" s="10">
        <f t="shared" si="6"/>
        <v>0.2</v>
      </c>
      <c r="K42" t="s">
        <v>198</v>
      </c>
    </row>
    <row r="43" spans="1:11" ht="14.25">
      <c r="A43" s="8"/>
      <c r="B43" s="8"/>
      <c r="E43" s="8">
        <v>0.6</v>
      </c>
      <c r="F43" s="10">
        <f t="shared" si="3"/>
        <v>0.024000000000000004</v>
      </c>
      <c r="G43" s="10">
        <f t="shared" si="4"/>
        <v>-0.049999999999999996</v>
      </c>
      <c r="H43" s="10">
        <f t="shared" si="5"/>
        <v>0.024999999999999998</v>
      </c>
      <c r="I43" t="s">
        <v>196</v>
      </c>
      <c r="J43" s="10">
        <f t="shared" si="6"/>
        <v>0.3</v>
      </c>
      <c r="K43" t="s">
        <v>198</v>
      </c>
    </row>
    <row r="44" spans="1:11" ht="14.25">
      <c r="A44" s="8"/>
      <c r="B44" s="8"/>
      <c r="E44" s="8">
        <v>0.8</v>
      </c>
      <c r="F44" s="10">
        <f t="shared" si="3"/>
        <v>-0.0053333333333333505</v>
      </c>
      <c r="G44" s="10">
        <f t="shared" si="4"/>
        <v>-0.06666666666666667</v>
      </c>
      <c r="H44" s="10">
        <f t="shared" si="5"/>
        <v>0.03333333333333333</v>
      </c>
      <c r="I44" t="s">
        <v>196</v>
      </c>
      <c r="J44" s="10">
        <f t="shared" si="6"/>
        <v>0.4</v>
      </c>
      <c r="K44" t="s">
        <v>198</v>
      </c>
    </row>
    <row r="45" spans="1:11" ht="14.25">
      <c r="A45" s="8"/>
      <c r="B45" s="8"/>
      <c r="E45" s="8">
        <v>1</v>
      </c>
      <c r="F45" s="10">
        <f t="shared" si="3"/>
        <v>-0.06666666666666667</v>
      </c>
      <c r="G45" s="10">
        <f t="shared" si="4"/>
        <v>-0.08333333333333333</v>
      </c>
      <c r="H45" s="10">
        <f t="shared" si="5"/>
        <v>0.041666666666666664</v>
      </c>
      <c r="I45" t="s">
        <v>196</v>
      </c>
      <c r="J45" s="10">
        <f t="shared" si="6"/>
        <v>0.5</v>
      </c>
      <c r="K45" t="s">
        <v>198</v>
      </c>
    </row>
    <row r="46" spans="1:2" ht="12.75">
      <c r="A46" s="8"/>
      <c r="B46" s="8"/>
    </row>
    <row r="53" spans="8:10" ht="12.75">
      <c r="H53" s="111" t="s">
        <v>197</v>
      </c>
      <c r="I53" s="6">
        <v>0.4</v>
      </c>
      <c r="J53" t="s">
        <v>198</v>
      </c>
    </row>
  </sheetData>
  <sheetProtection sheet="1" objects="1" scenarios="1"/>
  <printOptions/>
  <pageMargins left="0.5905511811023623" right="0.5905511811023623" top="0.5905511811023623" bottom="0.3937007874015748" header="0.31496062992125984" footer="0.5118110236220472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  <oleObjects>
    <oleObject progId="Equation.2" shapeId="326680" r:id="rId1"/>
    <oleObject progId="Equation.2" shapeId="326684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G16"/>
  <sheetViews>
    <sheetView workbookViewId="0" topLeftCell="A1">
      <selection activeCell="N4" sqref="N4"/>
    </sheetView>
  </sheetViews>
  <sheetFormatPr defaultColWidth="8.7109375" defaultRowHeight="12.75"/>
  <sheetData>
    <row r="1" spans="1:4" ht="12.75">
      <c r="A1" t="s">
        <v>161</v>
      </c>
      <c r="D1" t="s">
        <v>210</v>
      </c>
    </row>
    <row r="4" spans="1:7" ht="15.75">
      <c r="A4" s="9" t="s">
        <v>164</v>
      </c>
      <c r="B4" s="7" t="s">
        <v>200</v>
      </c>
      <c r="C4" s="7" t="s">
        <v>201</v>
      </c>
      <c r="D4" s="7" t="s">
        <v>202</v>
      </c>
      <c r="E4" s="7" t="s">
        <v>203</v>
      </c>
      <c r="F4" s="7" t="s">
        <v>204</v>
      </c>
      <c r="G4" s="7" t="s">
        <v>205</v>
      </c>
    </row>
    <row r="5" ht="12.75">
      <c r="A5" s="7"/>
    </row>
    <row r="6" spans="1:7" ht="12.75">
      <c r="A6" s="8">
        <v>0.5</v>
      </c>
      <c r="B6" s="10">
        <v>0.0251</v>
      </c>
      <c r="C6" s="10">
        <v>0.0251</v>
      </c>
      <c r="D6" s="10">
        <v>-0.0614</v>
      </c>
      <c r="E6" s="10">
        <v>0.0011</v>
      </c>
      <c r="F6" s="10">
        <v>0.0014</v>
      </c>
      <c r="G6" s="10">
        <v>-0.009</v>
      </c>
    </row>
    <row r="7" spans="1:7" ht="12.75">
      <c r="A7" s="8">
        <f>A6+0.05</f>
        <v>0.55</v>
      </c>
      <c r="B7" s="10">
        <v>0.0235</v>
      </c>
      <c r="C7" s="10">
        <v>0.0235</v>
      </c>
      <c r="D7" s="10">
        <v>-0.0603</v>
      </c>
      <c r="E7" s="10">
        <v>0.0017</v>
      </c>
      <c r="F7" s="10">
        <v>0.0019</v>
      </c>
      <c r="G7" s="10">
        <v>-0.0109</v>
      </c>
    </row>
    <row r="8" spans="1:7" ht="12.75">
      <c r="A8" s="8">
        <f aca="true" t="shared" si="0" ref="A8:A16">A7+0.05</f>
        <v>0.6000000000000001</v>
      </c>
      <c r="B8" s="10">
        <v>0.0217</v>
      </c>
      <c r="C8" s="10">
        <v>0.0217</v>
      </c>
      <c r="D8" s="10">
        <v>-0.0565</v>
      </c>
      <c r="E8" s="10">
        <v>0.0024</v>
      </c>
      <c r="F8" s="10">
        <v>0.0024</v>
      </c>
      <c r="G8" s="10">
        <v>-0.0129</v>
      </c>
    </row>
    <row r="9" spans="1:7" ht="12.75">
      <c r="A9" s="8">
        <f t="shared" si="0"/>
        <v>0.6500000000000001</v>
      </c>
      <c r="B9" s="10">
        <v>0.0198</v>
      </c>
      <c r="C9" s="10">
        <v>0.0198</v>
      </c>
      <c r="D9" s="10">
        <v>-0.0548</v>
      </c>
      <c r="E9" s="10">
        <v>0.0033</v>
      </c>
      <c r="F9" s="10">
        <v>0.0033</v>
      </c>
      <c r="G9" s="10">
        <v>-0.0149</v>
      </c>
    </row>
    <row r="10" spans="1:7" ht="12.75">
      <c r="A10" s="8">
        <f t="shared" si="0"/>
        <v>0.7000000000000002</v>
      </c>
      <c r="B10" s="10">
        <v>0.0179</v>
      </c>
      <c r="C10" s="10">
        <v>0.0179</v>
      </c>
      <c r="D10" s="10">
        <v>-0.0505</v>
      </c>
      <c r="E10" s="10">
        <v>0.0043</v>
      </c>
      <c r="F10" s="10">
        <v>0.0043</v>
      </c>
      <c r="G10" s="10">
        <v>-0.017</v>
      </c>
    </row>
    <row r="11" spans="1:7" ht="12.75">
      <c r="A11" s="8">
        <f t="shared" si="0"/>
        <v>0.7500000000000002</v>
      </c>
      <c r="B11" s="10">
        <v>0.0161</v>
      </c>
      <c r="C11" s="10">
        <v>0.0161</v>
      </c>
      <c r="D11" s="10">
        <v>-0.0482</v>
      </c>
      <c r="E11" s="10">
        <v>0.0054</v>
      </c>
      <c r="F11" s="10">
        <v>0.0054</v>
      </c>
      <c r="G11" s="10">
        <v>-0.019</v>
      </c>
    </row>
    <row r="12" spans="1:7" ht="12.75">
      <c r="A12" s="8">
        <f t="shared" si="0"/>
        <v>0.8000000000000003</v>
      </c>
      <c r="B12" s="10">
        <v>0.0142</v>
      </c>
      <c r="C12" s="10">
        <v>0.0142</v>
      </c>
      <c r="D12" s="10">
        <v>-0.0445</v>
      </c>
      <c r="E12" s="10">
        <v>0.0064</v>
      </c>
      <c r="F12" s="10">
        <v>0.0064</v>
      </c>
      <c r="G12" s="10">
        <v>-0.021</v>
      </c>
    </row>
    <row r="13" spans="1:7" ht="12.75">
      <c r="A13" s="8">
        <f t="shared" si="0"/>
        <v>0.8500000000000003</v>
      </c>
      <c r="B13" s="10">
        <v>0.0127</v>
      </c>
      <c r="C13" s="10">
        <v>0.0128</v>
      </c>
      <c r="D13" s="10">
        <v>-0.0422</v>
      </c>
      <c r="E13" s="10">
        <v>0.0076</v>
      </c>
      <c r="F13" s="10">
        <v>0.0076</v>
      </c>
      <c r="G13" s="10">
        <v>-0.023</v>
      </c>
    </row>
    <row r="14" spans="1:7" ht="12.75">
      <c r="A14" s="8">
        <f t="shared" si="0"/>
        <v>0.9000000000000004</v>
      </c>
      <c r="B14" s="10">
        <v>0.0112</v>
      </c>
      <c r="C14" s="10">
        <v>0.0117</v>
      </c>
      <c r="D14" s="10">
        <v>-0.0389</v>
      </c>
      <c r="E14" s="10">
        <v>0.0086</v>
      </c>
      <c r="F14" s="10">
        <v>0.0086</v>
      </c>
      <c r="G14" s="10">
        <v>-0.0248</v>
      </c>
    </row>
    <row r="15" spans="1:7" ht="12.75">
      <c r="A15" s="8">
        <f t="shared" si="0"/>
        <v>0.9500000000000004</v>
      </c>
      <c r="B15" s="10">
        <v>0.0098</v>
      </c>
      <c r="C15" s="10">
        <v>0.0104</v>
      </c>
      <c r="D15" s="10">
        <v>-0.037</v>
      </c>
      <c r="E15" s="10">
        <v>0.0096</v>
      </c>
      <c r="F15" s="10">
        <v>0.0096</v>
      </c>
      <c r="G15" s="10">
        <v>-0.0266</v>
      </c>
    </row>
    <row r="16" spans="1:7" ht="12.75">
      <c r="A16" s="8">
        <f t="shared" si="0"/>
        <v>1.0000000000000004</v>
      </c>
      <c r="B16" s="10">
        <v>0.0086</v>
      </c>
      <c r="C16" s="10">
        <v>0.0095</v>
      </c>
      <c r="D16" s="10">
        <v>-0.034</v>
      </c>
      <c r="E16" s="10">
        <v>0.0105</v>
      </c>
      <c r="F16" s="10">
        <v>0.0105</v>
      </c>
      <c r="G16" s="10">
        <v>-0.0283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A1"/>
  <sheetViews>
    <sheetView workbookViewId="0" topLeftCell="A1">
      <selection activeCell="K22" sqref="K22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8:A42"/>
  <sheetViews>
    <sheetView workbookViewId="0" topLeftCell="A34">
      <selection activeCell="N4" sqref="N4"/>
    </sheetView>
  </sheetViews>
  <sheetFormatPr defaultColWidth="6.7109375" defaultRowHeight="12.75"/>
  <cols>
    <col min="1" max="16384" width="11.421875" customWidth="1"/>
  </cols>
  <sheetData>
    <row r="8" ht="15.75">
      <c r="A8" s="101" t="s">
        <v>31</v>
      </c>
    </row>
    <row r="25" ht="15.75">
      <c r="A25" s="101" t="s">
        <v>32</v>
      </c>
    </row>
    <row r="42" s="102" customFormat="1" ht="15.75">
      <c r="A42" s="101" t="s">
        <v>33</v>
      </c>
    </row>
  </sheetData>
  <printOptions/>
  <pageMargins left="0.7874015748031497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&amp;LEUROCONCEPT INGENIERIE&amp;C&amp;F,  &amp;A&amp;R&amp;A</oddHeader>
    <oddFooter>&amp;LSTATION E.P. ROISSY - LOT 30K&amp;RPage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U136"/>
  <sheetViews>
    <sheetView workbookViewId="0" topLeftCell="C1">
      <selection activeCell="K23" sqref="K23"/>
    </sheetView>
  </sheetViews>
  <sheetFormatPr defaultColWidth="7.7109375" defaultRowHeight="12.75"/>
  <cols>
    <col min="1" max="1" width="11.421875" customWidth="1"/>
    <col min="2" max="3" width="7.7109375" style="0" customWidth="1"/>
    <col min="4" max="4" width="11.421875" customWidth="1"/>
    <col min="5" max="5" width="7.7109375" style="4" customWidth="1"/>
    <col min="6" max="16384" width="11.421875" customWidth="1"/>
  </cols>
  <sheetData>
    <row r="1" spans="1:11" ht="18">
      <c r="A1" s="30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4:15" ht="13.5" thickBot="1">
      <c r="N2" s="53"/>
      <c r="O2" s="53"/>
    </row>
    <row r="3" spans="1:15" ht="17.25" thickBot="1" thickTop="1">
      <c r="A3" s="24" t="s">
        <v>35</v>
      </c>
      <c r="B3" s="17"/>
      <c r="C3" s="26"/>
      <c r="D3" s="25"/>
      <c r="E3" s="25"/>
      <c r="F3" s="26"/>
      <c r="G3" s="26"/>
      <c r="H3" s="26"/>
      <c r="I3" s="26"/>
      <c r="J3" s="29"/>
      <c r="K3" s="29"/>
      <c r="N3" s="53"/>
      <c r="O3" s="53"/>
    </row>
    <row r="4" spans="14:15" ht="12" customHeight="1" thickTop="1">
      <c r="N4" s="53"/>
      <c r="O4" s="53"/>
    </row>
    <row r="5" spans="1:11" ht="12.75">
      <c r="A5" t="s">
        <v>36</v>
      </c>
      <c r="D5" s="133">
        <v>13.7</v>
      </c>
      <c r="E5" t="s">
        <v>37</v>
      </c>
      <c r="F5" t="s">
        <v>38</v>
      </c>
      <c r="J5" s="133">
        <v>0.4</v>
      </c>
      <c r="K5" t="s">
        <v>37</v>
      </c>
    </row>
    <row r="6" spans="1:11" ht="12.75">
      <c r="A6" t="s">
        <v>39</v>
      </c>
      <c r="D6" s="133">
        <v>7.76</v>
      </c>
      <c r="E6" t="s">
        <v>37</v>
      </c>
      <c r="F6" t="s">
        <v>40</v>
      </c>
      <c r="J6" s="133">
        <v>0.4</v>
      </c>
      <c r="K6" t="s">
        <v>37</v>
      </c>
    </row>
    <row r="7" spans="1:11" ht="12.75">
      <c r="A7" t="s">
        <v>41</v>
      </c>
      <c r="D7" s="133">
        <v>7.35</v>
      </c>
      <c r="E7" t="s">
        <v>37</v>
      </c>
      <c r="F7" t="s">
        <v>42</v>
      </c>
      <c r="J7" s="133">
        <v>0.45</v>
      </c>
      <c r="K7" t="s">
        <v>37</v>
      </c>
    </row>
    <row r="8" spans="1:15" ht="14.25">
      <c r="A8" t="s">
        <v>43</v>
      </c>
      <c r="D8" s="134">
        <v>10</v>
      </c>
      <c r="E8" t="s">
        <v>44</v>
      </c>
      <c r="F8" t="s">
        <v>45</v>
      </c>
      <c r="J8" s="132">
        <v>153</v>
      </c>
      <c r="K8" t="s">
        <v>46</v>
      </c>
      <c r="N8" s="53"/>
      <c r="O8" s="53"/>
    </row>
    <row r="9" spans="1:15" ht="12.75">
      <c r="A9" t="s">
        <v>47</v>
      </c>
      <c r="D9" s="130">
        <v>30</v>
      </c>
      <c r="E9" t="s">
        <v>46</v>
      </c>
      <c r="F9" t="s">
        <v>48</v>
      </c>
      <c r="J9" s="133">
        <v>0.045</v>
      </c>
      <c r="K9" t="s">
        <v>37</v>
      </c>
      <c r="N9" s="53"/>
      <c r="O9" s="53"/>
    </row>
    <row r="10" spans="1:12" ht="15.75">
      <c r="A10" t="s">
        <v>49</v>
      </c>
      <c r="D10" s="103">
        <f>0.6*D9</f>
        <v>18</v>
      </c>
      <c r="E10" t="s">
        <v>46</v>
      </c>
      <c r="F10" s="27" t="s">
        <v>50</v>
      </c>
      <c r="J10" s="28">
        <f>$D$10*($J$5-$J$9)^2*0.5*$D$10/($D$10+$J$8/15)*(1-$D$10/($D$10+$J$8/15)/3)*1000</f>
        <v>569.9365097329111</v>
      </c>
      <c r="K10" s="27" t="s">
        <v>51</v>
      </c>
      <c r="L10" s="27"/>
    </row>
    <row r="11" spans="6:11" ht="15.75">
      <c r="F11" s="27" t="s">
        <v>52</v>
      </c>
      <c r="J11" s="28">
        <f>$D$10*($J$6-$J$9)^2*0.5*$D$10/($D$10+$J$8/15)*(1-$D$10/($D$10+$J$8/15)/3)*1000</f>
        <v>569.9365097329111</v>
      </c>
      <c r="K11" s="27" t="s">
        <v>51</v>
      </c>
    </row>
    <row r="12" spans="1:5" ht="12.75">
      <c r="A12" s="3" t="s">
        <v>53</v>
      </c>
      <c r="D12" t="s">
        <v>54</v>
      </c>
      <c r="E12"/>
    </row>
    <row r="13" spans="1:5" ht="12.75">
      <c r="A13" s="3"/>
      <c r="E13"/>
    </row>
    <row r="14" spans="1:5" ht="12.75">
      <c r="A14" s="3"/>
      <c r="D14" s="10"/>
      <c r="E14"/>
    </row>
    <row r="15" spans="1:5" ht="12.75">
      <c r="A15" s="4" t="s">
        <v>55</v>
      </c>
      <c r="B15" s="6">
        <f>D$5</f>
        <v>13.7</v>
      </c>
      <c r="C15" t="s">
        <v>37</v>
      </c>
      <c r="E15"/>
    </row>
    <row r="16" spans="1:5" ht="12.75">
      <c r="A16" s="4" t="s">
        <v>56</v>
      </c>
      <c r="B16" s="6">
        <f>D$7</f>
        <v>7.35</v>
      </c>
      <c r="C16" t="s">
        <v>37</v>
      </c>
      <c r="E16"/>
    </row>
    <row r="17" spans="1:12" ht="12.75">
      <c r="A17" s="5" t="s">
        <v>57</v>
      </c>
      <c r="B17" s="6">
        <f>B15/B16</f>
        <v>1.8639455782312926</v>
      </c>
      <c r="I17" s="12"/>
      <c r="J17" s="12"/>
      <c r="K17" s="12"/>
      <c r="L17" s="12"/>
    </row>
    <row r="18" spans="1:5" ht="12.75">
      <c r="A18" s="5" t="s">
        <v>58</v>
      </c>
      <c r="B18" s="6">
        <f>B16/B15</f>
        <v>0.5364963503649635</v>
      </c>
      <c r="E18"/>
    </row>
    <row r="19" spans="1:5" ht="14.25">
      <c r="A19" s="4" t="s">
        <v>59</v>
      </c>
      <c r="B19" s="1">
        <f>2/3*D$8*D$7</f>
        <v>48.99999999999999</v>
      </c>
      <c r="C19" t="s">
        <v>60</v>
      </c>
      <c r="E19"/>
    </row>
    <row r="20" spans="1:5" ht="12.75">
      <c r="A20" s="4"/>
      <c r="E20"/>
    </row>
    <row r="21" spans="5:16" ht="13.5" thickBot="1">
      <c r="E21"/>
      <c r="M21" s="18" t="s">
        <v>61</v>
      </c>
      <c r="N21" s="19" t="s">
        <v>62</v>
      </c>
      <c r="O21" s="18" t="s">
        <v>61</v>
      </c>
      <c r="P21" s="19" t="s">
        <v>63</v>
      </c>
    </row>
    <row r="22" spans="5:16" ht="13.5" thickBot="1">
      <c r="E22" s="57" t="s">
        <v>64</v>
      </c>
      <c r="F22" s="58"/>
      <c r="G22" s="59"/>
      <c r="H22" s="57" t="s">
        <v>65</v>
      </c>
      <c r="I22" s="58"/>
      <c r="J22" s="59"/>
      <c r="M22" s="54">
        <f>HLOOKUP($B$17,P1_1.102a,'Barès 1.102a'!I$36)</f>
        <v>5</v>
      </c>
      <c r="N22" s="21">
        <f>HLOOKUP($B$17,P1_1.102a,1)</f>
        <v>1.5</v>
      </c>
      <c r="O22" s="22">
        <f>M22+1</f>
        <v>6</v>
      </c>
      <c r="P22" s="21">
        <f>HLOOKUP($O$22,P2_1.102a,2)</f>
        <v>2</v>
      </c>
    </row>
    <row r="23" spans="1:21" s="77" customFormat="1" ht="26.25" thickBot="1">
      <c r="A23" s="68"/>
      <c r="B23" s="69"/>
      <c r="C23" s="70"/>
      <c r="D23" s="67" t="s">
        <v>66</v>
      </c>
      <c r="E23" s="71" t="s">
        <v>67</v>
      </c>
      <c r="F23" s="72" t="s">
        <v>68</v>
      </c>
      <c r="G23" s="73" t="s">
        <v>69</v>
      </c>
      <c r="H23" s="74" t="s">
        <v>67</v>
      </c>
      <c r="I23" s="72" t="s">
        <v>68</v>
      </c>
      <c r="J23" s="73" t="s">
        <v>69</v>
      </c>
      <c r="K23" s="73" t="s">
        <v>70</v>
      </c>
      <c r="L23" s="75"/>
      <c r="M23" s="76" t="s">
        <v>61</v>
      </c>
      <c r="N23" s="76" t="s">
        <v>71</v>
      </c>
      <c r="P23" s="76" t="s">
        <v>72</v>
      </c>
      <c r="S23" s="74" t="s">
        <v>73</v>
      </c>
      <c r="T23" s="74" t="s">
        <v>74</v>
      </c>
      <c r="U23" s="78" t="s">
        <v>75</v>
      </c>
    </row>
    <row r="24" spans="1:21" ht="15.75">
      <c r="A24" s="42" t="s">
        <v>76</v>
      </c>
      <c r="B24" s="46">
        <f aca="true" t="shared" si="0" ref="B24:B33">N24+(P24-N24)/(P$22-N$22)*(B$17-N$22)</f>
        <v>-0.0047754421768707485</v>
      </c>
      <c r="C24" s="47" t="s">
        <v>77</v>
      </c>
      <c r="D24" s="31">
        <f aca="true" t="shared" si="1" ref="D24:D33">B24*B$19*B$15^2</f>
        <v>-43.91883436666665</v>
      </c>
      <c r="E24" s="60">
        <f aca="true" t="shared" si="2" ref="E24:E33">(ABS($D24))/1000/$J$8/(($J$5-$J$9)*(1-(1.5/3*(1-SQRT(1-8/3*ABS($D24/1000/($J$5-$J$9)^2/$D$10))))))*10000</f>
        <v>8.193100346397395</v>
      </c>
      <c r="F24" s="33">
        <f aca="true" t="shared" si="3" ref="F24:F33">ABS($D24*6/$J$5^2)</f>
        <v>1646.956288749999</v>
      </c>
      <c r="G24" s="104">
        <f aca="true" t="shared" si="4" ref="G24:G33">ABS($D24/($J$5^2/6+1.33*E24*10^-4*($J$5/2-$J$9)^2*14*2/$J$5))</f>
        <v>1541.0528294920553</v>
      </c>
      <c r="H24" s="32">
        <f aca="true" t="shared" si="5" ref="H24:H33">(ABS($S24))/1000/$J$8/(($J$5-$J$9)*(1-(1.5/3*(1-SQRT(1-8/3*ABS($S24/1000/($J$5-$J$9)^2/$D$10))))))*10000+T24/J$8*10</f>
        <v>8.003885490388347</v>
      </c>
      <c r="I24" s="33">
        <f aca="true" t="shared" si="6" ref="I24:I33">ABS($D24*6/$J$5^2)+T24/$J$5</f>
        <v>1633.8339994166656</v>
      </c>
      <c r="J24" s="104">
        <f aca="true" t="shared" si="7" ref="J24:J33">ABS($D24/($J$5^2/6+1.33*H24*10^-4*($J$5/2-$J$9)^2*14*2/$J$5))+T24/($J$5+1.33*H24*10^-4*14)</f>
        <v>1530.6938021700098</v>
      </c>
      <c r="K24" s="63">
        <f aca="true" t="shared" si="8" ref="K24:K33">1.1*U24*(0.06*$D$9+0.6)*1000</f>
        <v>4400</v>
      </c>
      <c r="M24">
        <v>2</v>
      </c>
      <c r="N24" s="10">
        <f aca="true" t="shared" si="9" ref="N24:N33">HLOOKUP(N$22,P1_1.102a,$M24)</f>
        <v>-0.00479</v>
      </c>
      <c r="P24" s="10">
        <f aca="true" t="shared" si="10" ref="P24:P33">HLOOKUP(P$22,P1_1.102a,$M24)</f>
        <v>-0.00477</v>
      </c>
      <c r="S24" s="1">
        <f aca="true" t="shared" si="11" ref="S24:S33">T24*(ABS(D24)/T24-J$5/2+J$9)</f>
        <v>44.73241630533332</v>
      </c>
      <c r="T24" s="1">
        <f>D87</f>
        <v>-5.248915733333333</v>
      </c>
      <c r="U24" s="6">
        <f aca="true" t="shared" si="12" ref="U24:U33">IF(T24&gt;0,IF(ABS(D24)/T24&lt;$J$5/2,1+(2*ABS(D24)/T24)/(3*$J$5),5/3),5/3)</f>
        <v>1.6666666666666667</v>
      </c>
    </row>
    <row r="25" spans="1:21" ht="15.75">
      <c r="A25" s="42" t="s">
        <v>78</v>
      </c>
      <c r="B25" s="46">
        <f t="shared" si="0"/>
        <v>0.002521360544217687</v>
      </c>
      <c r="C25" s="47" t="s">
        <v>77</v>
      </c>
      <c r="D25" s="31">
        <f t="shared" si="1"/>
        <v>23.18847386666666</v>
      </c>
      <c r="E25" s="60">
        <f t="shared" si="2"/>
        <v>4.29875529268755</v>
      </c>
      <c r="F25" s="33">
        <f t="shared" si="3"/>
        <v>869.5677699999995</v>
      </c>
      <c r="G25" s="104">
        <f t="shared" si="4"/>
        <v>839.3051209450136</v>
      </c>
      <c r="H25" s="32">
        <f t="shared" si="5"/>
        <v>4.107600078316471</v>
      </c>
      <c r="I25" s="33">
        <f t="shared" si="6"/>
        <v>856.4454806666662</v>
      </c>
      <c r="J25" s="104">
        <f t="shared" si="7"/>
        <v>827.7299202555535</v>
      </c>
      <c r="K25" s="64">
        <f t="shared" si="8"/>
        <v>4400</v>
      </c>
      <c r="M25">
        <f aca="true" t="shared" si="13" ref="M25:M40">M24+1</f>
        <v>3</v>
      </c>
      <c r="N25" s="10">
        <f t="shared" si="9"/>
        <v>0.00306</v>
      </c>
      <c r="P25" s="10">
        <f t="shared" si="10"/>
        <v>0.00232</v>
      </c>
      <c r="S25" s="1">
        <f t="shared" si="11"/>
        <v>24.002055805333324</v>
      </c>
      <c r="T25" s="1">
        <f>T24</f>
        <v>-5.248915733333333</v>
      </c>
      <c r="U25" s="6">
        <f t="shared" si="12"/>
        <v>1.6666666666666667</v>
      </c>
    </row>
    <row r="26" spans="1:21" ht="15.75">
      <c r="A26" s="42" t="s">
        <v>79</v>
      </c>
      <c r="B26" s="46">
        <f t="shared" si="0"/>
        <v>-0.005403741496598639</v>
      </c>
      <c r="C26" s="47" t="s">
        <v>77</v>
      </c>
      <c r="D26" s="31">
        <f t="shared" si="1"/>
        <v>-49.69718383333331</v>
      </c>
      <c r="E26" s="60">
        <f t="shared" si="2"/>
        <v>9.287496482850159</v>
      </c>
      <c r="F26" s="33">
        <f t="shared" si="3"/>
        <v>1863.6443937499987</v>
      </c>
      <c r="G26" s="104">
        <f t="shared" si="4"/>
        <v>1728.9569279547868</v>
      </c>
      <c r="H26" s="32">
        <f t="shared" si="5"/>
        <v>9.656185314156959</v>
      </c>
      <c r="I26" s="33">
        <f t="shared" si="6"/>
        <v>1889.2728284166653</v>
      </c>
      <c r="J26" s="104">
        <f t="shared" si="7"/>
        <v>1748.5368010832426</v>
      </c>
      <c r="K26" s="64">
        <f t="shared" si="8"/>
        <v>4400</v>
      </c>
      <c r="M26">
        <f t="shared" si="13"/>
        <v>4</v>
      </c>
      <c r="N26" s="10">
        <f t="shared" si="9"/>
        <v>-0.00635</v>
      </c>
      <c r="P26" s="10">
        <f t="shared" si="10"/>
        <v>-0.00505</v>
      </c>
      <c r="S26" s="1">
        <f t="shared" si="11"/>
        <v>48.10822088399998</v>
      </c>
      <c r="T26" s="1">
        <f>D88</f>
        <v>10.251373866666663</v>
      </c>
      <c r="U26" s="6">
        <f t="shared" si="12"/>
        <v>1.6666666666666667</v>
      </c>
    </row>
    <row r="27" spans="1:21" ht="15.75">
      <c r="A27" s="42" t="s">
        <v>80</v>
      </c>
      <c r="B27" s="46">
        <f t="shared" si="0"/>
        <v>0.002435714285714286</v>
      </c>
      <c r="C27" s="47" t="s">
        <v>77</v>
      </c>
      <c r="D27" s="31">
        <f t="shared" si="1"/>
        <v>22.400801499999993</v>
      </c>
      <c r="E27" s="60">
        <f t="shared" si="2"/>
        <v>4.15175306153101</v>
      </c>
      <c r="F27" s="33">
        <f t="shared" si="3"/>
        <v>840.0300562499995</v>
      </c>
      <c r="G27" s="104">
        <f t="shared" si="4"/>
        <v>811.7614571634148</v>
      </c>
      <c r="H27" s="32">
        <f t="shared" si="5"/>
        <v>4.525444059962355</v>
      </c>
      <c r="I27" s="33">
        <f t="shared" si="6"/>
        <v>865.6584909166661</v>
      </c>
      <c r="J27" s="104">
        <f t="shared" si="7"/>
        <v>834.4097920360384</v>
      </c>
      <c r="K27" s="64">
        <f t="shared" si="8"/>
        <v>4400</v>
      </c>
      <c r="M27">
        <f t="shared" si="13"/>
        <v>5</v>
      </c>
      <c r="N27" s="10">
        <f t="shared" si="9"/>
        <v>0.0032</v>
      </c>
      <c r="P27" s="10">
        <f t="shared" si="10"/>
        <v>0.00215</v>
      </c>
      <c r="S27" s="1">
        <f t="shared" si="11"/>
        <v>20.81183855066666</v>
      </c>
      <c r="T27" s="1">
        <f>T26</f>
        <v>10.251373866666663</v>
      </c>
      <c r="U27" s="6">
        <f t="shared" si="12"/>
        <v>1.6666666666666667</v>
      </c>
    </row>
    <row r="28" spans="1:21" ht="15.75">
      <c r="A28" s="42" t="s">
        <v>81</v>
      </c>
      <c r="B28" s="46">
        <f t="shared" si="0"/>
        <v>-0.00593469387755102</v>
      </c>
      <c r="C28" s="47" t="s">
        <v>77</v>
      </c>
      <c r="D28" s="31">
        <f t="shared" si="1"/>
        <v>-54.58025199999998</v>
      </c>
      <c r="E28" s="60">
        <f t="shared" si="2"/>
        <v>10.215411328367688</v>
      </c>
      <c r="F28" s="33">
        <f t="shared" si="3"/>
        <v>2046.7594499999989</v>
      </c>
      <c r="G28" s="104">
        <f t="shared" si="4"/>
        <v>1885.2256041800397</v>
      </c>
      <c r="H28" s="32">
        <f t="shared" si="5"/>
        <v>11.238401990324592</v>
      </c>
      <c r="I28" s="33">
        <f t="shared" si="6"/>
        <v>2117.9963793333322</v>
      </c>
      <c r="J28" s="104">
        <f t="shared" si="7"/>
        <v>1938.1382526562961</v>
      </c>
      <c r="K28" s="64">
        <f t="shared" si="8"/>
        <v>4400</v>
      </c>
      <c r="M28">
        <f t="shared" si="13"/>
        <v>6</v>
      </c>
      <c r="N28" s="10">
        <f t="shared" si="9"/>
        <v>-0.0079</v>
      </c>
      <c r="P28" s="10">
        <f t="shared" si="10"/>
        <v>-0.0052</v>
      </c>
      <c r="S28" s="1">
        <f t="shared" si="11"/>
        <v>50.163562381333314</v>
      </c>
      <c r="T28" s="1">
        <f>D89</f>
        <v>28.49477173333333</v>
      </c>
      <c r="U28" s="6">
        <f t="shared" si="12"/>
        <v>1.6666666666666667</v>
      </c>
    </row>
    <row r="29" spans="1:21" ht="15.75">
      <c r="A29" s="42" t="s">
        <v>82</v>
      </c>
      <c r="B29" s="46">
        <f t="shared" si="0"/>
        <v>0.0023754421768707483</v>
      </c>
      <c r="C29" s="47" t="s">
        <v>77</v>
      </c>
      <c r="D29" s="31">
        <f t="shared" si="1"/>
        <v>21.84649036666666</v>
      </c>
      <c r="E29" s="60">
        <f t="shared" si="2"/>
        <v>4.04834462177637</v>
      </c>
      <c r="F29" s="33">
        <f t="shared" si="3"/>
        <v>819.2433887499997</v>
      </c>
      <c r="G29" s="104">
        <f t="shared" si="4"/>
        <v>792.3384173864431</v>
      </c>
      <c r="H29" s="32">
        <f t="shared" si="5"/>
        <v>5.088033391632033</v>
      </c>
      <c r="I29" s="33">
        <f t="shared" si="6"/>
        <v>890.480318083333</v>
      </c>
      <c r="J29" s="104">
        <f t="shared" si="7"/>
        <v>855.3002794929746</v>
      </c>
      <c r="K29" s="64">
        <f t="shared" si="8"/>
        <v>4400</v>
      </c>
      <c r="M29">
        <f t="shared" si="13"/>
        <v>7</v>
      </c>
      <c r="N29" s="10">
        <f t="shared" si="9"/>
        <v>0.00346</v>
      </c>
      <c r="P29" s="10">
        <f t="shared" si="10"/>
        <v>0.00197</v>
      </c>
      <c r="S29" s="1">
        <f t="shared" si="11"/>
        <v>17.429800747999998</v>
      </c>
      <c r="T29" s="1">
        <f>T28</f>
        <v>28.49477173333333</v>
      </c>
      <c r="U29" s="6">
        <f t="shared" si="12"/>
        <v>1.6666666666666667</v>
      </c>
    </row>
    <row r="30" spans="1:21" ht="15.75">
      <c r="A30" s="42" t="s">
        <v>83</v>
      </c>
      <c r="B30" s="46">
        <f t="shared" si="0"/>
        <v>-0.005729523809523809</v>
      </c>
      <c r="C30" s="47" t="s">
        <v>77</v>
      </c>
      <c r="D30" s="31">
        <f t="shared" si="1"/>
        <v>-52.69334186666666</v>
      </c>
      <c r="E30" s="60">
        <f t="shared" si="2"/>
        <v>9.85651097814009</v>
      </c>
      <c r="F30" s="33">
        <f t="shared" si="3"/>
        <v>1976.0003199999992</v>
      </c>
      <c r="G30" s="104">
        <f t="shared" si="4"/>
        <v>1825.1115338954248</v>
      </c>
      <c r="H30" s="32">
        <f t="shared" si="5"/>
        <v>11.927197572126516</v>
      </c>
      <c r="I30" s="33">
        <f t="shared" si="6"/>
        <v>2119.8899906666657</v>
      </c>
      <c r="J30" s="104">
        <f t="shared" si="7"/>
        <v>1932.6161729264156</v>
      </c>
      <c r="K30" s="64">
        <f t="shared" si="8"/>
        <v>4400</v>
      </c>
      <c r="M30">
        <f t="shared" si="13"/>
        <v>8</v>
      </c>
      <c r="N30" s="10">
        <f t="shared" si="9"/>
        <v>-0.00843</v>
      </c>
      <c r="P30" s="10">
        <f t="shared" si="10"/>
        <v>-0.00472</v>
      </c>
      <c r="S30" s="1">
        <f t="shared" si="11"/>
        <v>43.77218228533333</v>
      </c>
      <c r="T30" s="1">
        <f>D90</f>
        <v>57.555868266666664</v>
      </c>
      <c r="U30" s="6">
        <f t="shared" si="12"/>
        <v>1.6666666666666667</v>
      </c>
    </row>
    <row r="31" spans="1:21" ht="15.75">
      <c r="A31" s="42" t="s">
        <v>84</v>
      </c>
      <c r="B31" s="46">
        <f t="shared" si="0"/>
        <v>0.0019635374149659865</v>
      </c>
      <c r="C31" s="47" t="s">
        <v>77</v>
      </c>
      <c r="D31" s="31">
        <f t="shared" si="1"/>
        <v>18.058280533333328</v>
      </c>
      <c r="E31" s="60">
        <f t="shared" si="2"/>
        <v>3.3425661907214446</v>
      </c>
      <c r="F31" s="33">
        <f t="shared" si="3"/>
        <v>677.1855199999997</v>
      </c>
      <c r="G31" s="104">
        <f t="shared" si="4"/>
        <v>658.7173665442232</v>
      </c>
      <c r="H31" s="32">
        <f t="shared" si="5"/>
        <v>5.448609507181393</v>
      </c>
      <c r="I31" s="33">
        <f t="shared" si="6"/>
        <v>821.0751906666663</v>
      </c>
      <c r="J31" s="104">
        <f t="shared" si="7"/>
        <v>787.9201581324163</v>
      </c>
      <c r="K31" s="64">
        <f t="shared" si="8"/>
        <v>4400</v>
      </c>
      <c r="M31">
        <f t="shared" si="13"/>
        <v>9</v>
      </c>
      <c r="N31" s="10">
        <f t="shared" si="9"/>
        <v>0.00315</v>
      </c>
      <c r="P31" s="10">
        <f t="shared" si="10"/>
        <v>0.00152</v>
      </c>
      <c r="S31" s="1">
        <f t="shared" si="11"/>
        <v>9.137120951999993</v>
      </c>
      <c r="T31" s="1">
        <f>T30</f>
        <v>57.555868266666664</v>
      </c>
      <c r="U31" s="6">
        <f t="shared" si="12"/>
        <v>1.6666666666666667</v>
      </c>
    </row>
    <row r="32" spans="1:21" ht="15.75">
      <c r="A32" s="42" t="s">
        <v>85</v>
      </c>
      <c r="B32" s="46">
        <f t="shared" si="0"/>
        <v>-0.0031221088435374146</v>
      </c>
      <c r="C32" s="47" t="s">
        <v>77</v>
      </c>
      <c r="D32" s="31">
        <f t="shared" si="1"/>
        <v>-28.713441833333324</v>
      </c>
      <c r="E32" s="60">
        <f t="shared" si="2"/>
        <v>5.3318452673333905</v>
      </c>
      <c r="F32" s="33">
        <f t="shared" si="3"/>
        <v>1076.7540687499995</v>
      </c>
      <c r="G32" s="104">
        <f t="shared" si="4"/>
        <v>1030.6607864509044</v>
      </c>
      <c r="H32" s="32">
        <f t="shared" si="5"/>
        <v>7.195885348283909</v>
      </c>
      <c r="I32" s="33">
        <f t="shared" si="6"/>
        <v>1204.7864380833328</v>
      </c>
      <c r="J32" s="104">
        <f t="shared" si="7"/>
        <v>1139.3462902083509</v>
      </c>
      <c r="K32" s="64">
        <f t="shared" si="8"/>
        <v>4400</v>
      </c>
      <c r="M32">
        <f t="shared" si="13"/>
        <v>10</v>
      </c>
      <c r="N32" s="10">
        <f t="shared" si="9"/>
        <v>-0.00492</v>
      </c>
      <c r="P32" s="10">
        <f t="shared" si="10"/>
        <v>-0.00245</v>
      </c>
      <c r="S32" s="1">
        <f t="shared" si="11"/>
        <v>20.775434934666656</v>
      </c>
      <c r="T32" s="1">
        <f>D91</f>
        <v>51.21294773333332</v>
      </c>
      <c r="U32" s="6">
        <f t="shared" si="12"/>
        <v>1.6666666666666667</v>
      </c>
    </row>
    <row r="33" spans="1:21" ht="15.75">
      <c r="A33" s="42" t="s">
        <v>86</v>
      </c>
      <c r="B33" s="46">
        <f t="shared" si="0"/>
        <v>0.0004340136054421768</v>
      </c>
      <c r="C33" s="47" t="s">
        <v>77</v>
      </c>
      <c r="D33" s="31">
        <f t="shared" si="1"/>
        <v>3.9915406666666646</v>
      </c>
      <c r="E33" s="60">
        <f t="shared" si="2"/>
        <v>0.7357514497771659</v>
      </c>
      <c r="F33" s="33">
        <f t="shared" si="3"/>
        <v>149.68277499999988</v>
      </c>
      <c r="G33" s="104">
        <f t="shared" si="4"/>
        <v>148.76470588051217</v>
      </c>
      <c r="H33" s="32">
        <f t="shared" si="5"/>
        <v>4.074684799377645</v>
      </c>
      <c r="I33" s="33">
        <f t="shared" si="6"/>
        <v>277.71514433333317</v>
      </c>
      <c r="J33" s="104">
        <f t="shared" si="7"/>
        <v>270.3851798023174</v>
      </c>
      <c r="K33" s="64">
        <f t="shared" si="8"/>
        <v>2982.9363024519307</v>
      </c>
      <c r="M33">
        <f t="shared" si="13"/>
        <v>11</v>
      </c>
      <c r="N33" s="10">
        <f t="shared" si="9"/>
        <v>0.00106</v>
      </c>
      <c r="P33" s="10">
        <f t="shared" si="10"/>
        <v>0.0002</v>
      </c>
      <c r="S33" s="1">
        <f t="shared" si="11"/>
        <v>-3.9464662320000006</v>
      </c>
      <c r="T33" s="1">
        <f>T32</f>
        <v>51.21294773333332</v>
      </c>
      <c r="U33" s="6">
        <f t="shared" si="12"/>
        <v>1.1299001145651253</v>
      </c>
    </row>
    <row r="34" spans="1:16" ht="12.75">
      <c r="A34" s="42"/>
      <c r="B34" s="46"/>
      <c r="C34" s="47"/>
      <c r="D34" s="31"/>
      <c r="E34" s="60"/>
      <c r="F34" s="33"/>
      <c r="G34" s="104"/>
      <c r="H34" s="32"/>
      <c r="I34" s="33"/>
      <c r="J34" s="50"/>
      <c r="K34" s="65"/>
      <c r="M34">
        <f t="shared" si="13"/>
        <v>12</v>
      </c>
      <c r="N34" s="10"/>
      <c r="P34" s="10"/>
    </row>
    <row r="35" spans="1:21" ht="15.75">
      <c r="A35" s="42" t="s">
        <v>87</v>
      </c>
      <c r="B35" s="46">
        <f aca="true" t="shared" si="14" ref="B35:B41">N35+(P35-N35)/(P$22-N$22)*(B$17-N$22)</f>
        <v>0.002719047619047619</v>
      </c>
      <c r="C35" s="47" t="s">
        <v>88</v>
      </c>
      <c r="D35" s="31">
        <f aca="true" t="shared" si="15" ref="D35:D41">B35*B$19*B$16^2</f>
        <v>7.197597749999998</v>
      </c>
      <c r="E35" s="60">
        <f aca="true" t="shared" si="16" ref="E35:E41">(ABS($D35))/1000/$J$8/(($J$5-$J$9)*(1-(1.5/3*(1-SQRT(1-8/3*ABS($D35/1000/($J$5-$J$9)^2/$D$10))))))*10000</f>
        <v>1.3279733794126916</v>
      </c>
      <c r="F35" s="33">
        <f aca="true" t="shared" si="17" ref="F35:F41">ABS($D35*6/$J$5^2)</f>
        <v>269.9099156249999</v>
      </c>
      <c r="G35" s="104">
        <f aca="true" t="shared" si="18" ref="G35:G41">ABS($D35/($J$5^2/6+1.33*E35*10^-4*($J$5/2-$J$9)^2*14*2/$J$5))</f>
        <v>266.9365944093416</v>
      </c>
      <c r="H35" s="32"/>
      <c r="I35" s="33"/>
      <c r="J35" s="50"/>
      <c r="K35" s="64">
        <f aca="true" t="shared" si="19" ref="K35:K41">1.1*U35*(0.06*$D$9+0.6)*1000</f>
        <v>4400</v>
      </c>
      <c r="M35">
        <f t="shared" si="13"/>
        <v>13</v>
      </c>
      <c r="N35" s="10">
        <f aca="true" t="shared" si="20" ref="N35:N41">HLOOKUP(N$22,P1_1.102a,$M35)</f>
        <v>0.0017</v>
      </c>
      <c r="P35" s="10">
        <f aca="true" t="shared" si="21" ref="P35:P41">HLOOKUP(P$22,P1_1.102a,$M35)</f>
        <v>0.0031</v>
      </c>
      <c r="U35" s="6">
        <f aca="true" t="shared" si="22" ref="U35:U41">5/3</f>
        <v>1.6666666666666667</v>
      </c>
    </row>
    <row r="36" spans="1:21" ht="15.75">
      <c r="A36" s="42" t="s">
        <v>89</v>
      </c>
      <c r="B36" s="46">
        <f t="shared" si="14"/>
        <v>0.007664625850340136</v>
      </c>
      <c r="C36" s="47" t="s">
        <v>88</v>
      </c>
      <c r="D36" s="31">
        <f t="shared" si="15"/>
        <v>20.289050249999995</v>
      </c>
      <c r="E36" s="60">
        <f t="shared" si="16"/>
        <v>3.7579843244788464</v>
      </c>
      <c r="F36" s="33">
        <f t="shared" si="17"/>
        <v>760.8393843749997</v>
      </c>
      <c r="G36" s="104">
        <f t="shared" si="18"/>
        <v>737.5898509635391</v>
      </c>
      <c r="H36" s="32"/>
      <c r="I36" s="33"/>
      <c r="J36" s="50"/>
      <c r="K36" s="64">
        <f t="shared" si="19"/>
        <v>4400</v>
      </c>
      <c r="M36">
        <f t="shared" si="13"/>
        <v>14</v>
      </c>
      <c r="N36" s="10">
        <f t="shared" si="20"/>
        <v>0.0065</v>
      </c>
      <c r="P36" s="10">
        <f t="shared" si="21"/>
        <v>0.0081</v>
      </c>
      <c r="U36" s="6">
        <f t="shared" si="22"/>
        <v>1.6666666666666667</v>
      </c>
    </row>
    <row r="37" spans="1:21" ht="15.75">
      <c r="A37" s="42" t="s">
        <v>90</v>
      </c>
      <c r="B37" s="46">
        <f t="shared" si="14"/>
        <v>0.010536054421768706</v>
      </c>
      <c r="C37" s="47" t="s">
        <v>88</v>
      </c>
      <c r="D37" s="31">
        <f t="shared" si="15"/>
        <v>27.89001599999999</v>
      </c>
      <c r="E37" s="60">
        <f t="shared" si="16"/>
        <v>5.177656720880818</v>
      </c>
      <c r="F37" s="33">
        <f t="shared" si="17"/>
        <v>1045.8755999999994</v>
      </c>
      <c r="G37" s="104">
        <f t="shared" si="18"/>
        <v>1002.344983342268</v>
      </c>
      <c r="H37" s="32"/>
      <c r="I37" s="33"/>
      <c r="J37" s="50"/>
      <c r="K37" s="64">
        <f t="shared" si="19"/>
        <v>4400</v>
      </c>
      <c r="M37">
        <f t="shared" si="13"/>
        <v>15</v>
      </c>
      <c r="N37" s="10">
        <f t="shared" si="20"/>
        <v>0.0109</v>
      </c>
      <c r="P37" s="10">
        <f t="shared" si="21"/>
        <v>0.0104</v>
      </c>
      <c r="U37" s="6">
        <f t="shared" si="22"/>
        <v>1.6666666666666667</v>
      </c>
    </row>
    <row r="38" spans="1:21" ht="15.75">
      <c r="A38" s="42" t="s">
        <v>91</v>
      </c>
      <c r="B38" s="46">
        <f t="shared" si="14"/>
        <v>-0.001185034013605443</v>
      </c>
      <c r="C38" s="47" t="s">
        <v>88</v>
      </c>
      <c r="D38" s="31">
        <f t="shared" si="15"/>
        <v>-3.136906500000001</v>
      </c>
      <c r="E38" s="60">
        <f t="shared" si="16"/>
        <v>0.5780730443551081</v>
      </c>
      <c r="F38" s="33">
        <f t="shared" si="17"/>
        <v>117.63399375000002</v>
      </c>
      <c r="G38" s="104">
        <f t="shared" si="18"/>
        <v>117.06637174671962</v>
      </c>
      <c r="H38" s="32"/>
      <c r="I38" s="33"/>
      <c r="J38" s="50"/>
      <c r="K38" s="64">
        <f t="shared" si="19"/>
        <v>4400</v>
      </c>
      <c r="M38">
        <f t="shared" si="13"/>
        <v>16</v>
      </c>
      <c r="N38" s="10">
        <f t="shared" si="20"/>
        <v>0.0026</v>
      </c>
      <c r="P38" s="10">
        <f t="shared" si="21"/>
        <v>-0.0026</v>
      </c>
      <c r="U38" s="6">
        <f t="shared" si="22"/>
        <v>1.6666666666666667</v>
      </c>
    </row>
    <row r="39" spans="1:21" ht="15.75">
      <c r="A39" s="42" t="s">
        <v>92</v>
      </c>
      <c r="B39" s="46">
        <f t="shared" si="14"/>
        <v>-0.036769387755102044</v>
      </c>
      <c r="C39" s="47" t="s">
        <v>88</v>
      </c>
      <c r="D39" s="31">
        <f t="shared" si="15"/>
        <v>-97.33233824999998</v>
      </c>
      <c r="E39" s="60">
        <f t="shared" si="16"/>
        <v>18.46417462105635</v>
      </c>
      <c r="F39" s="33">
        <f t="shared" si="17"/>
        <v>3649.962684374999</v>
      </c>
      <c r="G39" s="104">
        <f t="shared" si="18"/>
        <v>3160.4898010652314</v>
      </c>
      <c r="H39" s="32"/>
      <c r="I39" s="33"/>
      <c r="J39" s="50"/>
      <c r="K39" s="64">
        <f t="shared" si="19"/>
        <v>4400</v>
      </c>
      <c r="M39">
        <f t="shared" si="13"/>
        <v>17</v>
      </c>
      <c r="N39" s="10">
        <f t="shared" si="20"/>
        <v>-0.03</v>
      </c>
      <c r="P39" s="10">
        <f t="shared" si="21"/>
        <v>-0.0393</v>
      </c>
      <c r="U39" s="6">
        <f t="shared" si="22"/>
        <v>1.6666666666666667</v>
      </c>
    </row>
    <row r="40" spans="1:21" ht="15.75">
      <c r="A40" s="42" t="s">
        <v>93</v>
      </c>
      <c r="B40" s="46">
        <f t="shared" si="14"/>
        <v>-0.04172448979591837</v>
      </c>
      <c r="C40" s="47" t="s">
        <v>88</v>
      </c>
      <c r="D40" s="31">
        <f t="shared" si="15"/>
        <v>-110.44900124999998</v>
      </c>
      <c r="E40" s="60">
        <f t="shared" si="16"/>
        <v>21.041636331378477</v>
      </c>
      <c r="F40" s="33">
        <f t="shared" si="17"/>
        <v>4141.837546874998</v>
      </c>
      <c r="G40" s="104">
        <f t="shared" si="18"/>
        <v>3520.499263599438</v>
      </c>
      <c r="H40" s="32"/>
      <c r="I40" s="33"/>
      <c r="J40" s="50"/>
      <c r="K40" s="64">
        <f t="shared" si="19"/>
        <v>4400</v>
      </c>
      <c r="M40">
        <f t="shared" si="13"/>
        <v>18</v>
      </c>
      <c r="N40" s="10">
        <f t="shared" si="20"/>
        <v>-0.0343</v>
      </c>
      <c r="P40" s="10">
        <f t="shared" si="21"/>
        <v>-0.0445</v>
      </c>
      <c r="U40" s="6">
        <f t="shared" si="22"/>
        <v>1.6666666666666667</v>
      </c>
    </row>
    <row r="41" spans="1:21" ht="15.75">
      <c r="A41" s="42" t="s">
        <v>94</v>
      </c>
      <c r="B41" s="46">
        <f t="shared" si="14"/>
        <v>-0.043324489795918374</v>
      </c>
      <c r="C41" s="47" t="s">
        <v>88</v>
      </c>
      <c r="D41" s="31">
        <f t="shared" si="15"/>
        <v>-114.68436524999998</v>
      </c>
      <c r="E41" s="60">
        <f t="shared" si="16"/>
        <v>21.87876734667952</v>
      </c>
      <c r="F41" s="33">
        <f t="shared" si="17"/>
        <v>4300.663696874999</v>
      </c>
      <c r="G41" s="104">
        <f t="shared" si="18"/>
        <v>3633.8114948950633</v>
      </c>
      <c r="H41" s="32"/>
      <c r="I41" s="33"/>
      <c r="J41" s="50"/>
      <c r="K41" s="64">
        <f t="shared" si="19"/>
        <v>4400</v>
      </c>
      <c r="M41">
        <f aca="true" t="shared" si="23" ref="M41:M52">M40+1</f>
        <v>19</v>
      </c>
      <c r="N41" s="10">
        <f t="shared" si="20"/>
        <v>-0.0359</v>
      </c>
      <c r="P41" s="10">
        <f t="shared" si="21"/>
        <v>-0.0461</v>
      </c>
      <c r="U41" s="6">
        <f t="shared" si="22"/>
        <v>1.6666666666666667</v>
      </c>
    </row>
    <row r="42" spans="1:16" ht="12.75">
      <c r="A42" s="42"/>
      <c r="B42" s="46"/>
      <c r="C42" s="47"/>
      <c r="D42" s="31"/>
      <c r="E42" s="60"/>
      <c r="F42" s="33"/>
      <c r="G42" s="34">
        <f>IF(ABS($D42)&gt;$J$10,"--&gt; As comprimés requis","")</f>
      </c>
      <c r="H42" s="32"/>
      <c r="I42" s="33"/>
      <c r="J42" s="50"/>
      <c r="K42" s="65"/>
      <c r="M42">
        <f t="shared" si="23"/>
        <v>20</v>
      </c>
      <c r="N42" s="10"/>
      <c r="P42" s="10"/>
    </row>
    <row r="43" spans="1:16" ht="15.75">
      <c r="A43" s="42" t="s">
        <v>95</v>
      </c>
      <c r="B43" s="46">
        <f aca="true" t="shared" si="24" ref="B43:B48">N43+(P43-N43)/(P$22-N$22)*(B$17-N$22)</f>
        <v>0.010254421768707486</v>
      </c>
      <c r="C43" s="47" t="s">
        <v>96</v>
      </c>
      <c r="D43" s="31">
        <f aca="true" t="shared" si="25" ref="D43:D48">B43*B$19*B$15</f>
        <v>6.883793333333334</v>
      </c>
      <c r="E43" s="61"/>
      <c r="F43" s="55"/>
      <c r="G43" s="56"/>
      <c r="H43" s="32"/>
      <c r="I43" s="33"/>
      <c r="J43" s="50"/>
      <c r="K43" s="65"/>
      <c r="M43">
        <f t="shared" si="23"/>
        <v>21</v>
      </c>
      <c r="N43" s="10">
        <f aca="true" t="shared" si="26" ref="N43:N48">HLOOKUP(N$22,P1_1.102a,$M43)</f>
        <v>-0.0003</v>
      </c>
      <c r="P43" s="10">
        <f aca="true" t="shared" si="27" ref="P43:P48">HLOOKUP(P$22,P1_1.102a,$M43)</f>
        <v>0.0142</v>
      </c>
    </row>
    <row r="44" spans="1:16" ht="15.75">
      <c r="A44" s="42" t="s">
        <v>97</v>
      </c>
      <c r="B44" s="46">
        <f t="shared" si="24"/>
        <v>0.03598163265306123</v>
      </c>
      <c r="C44" s="47" t="s">
        <v>96</v>
      </c>
      <c r="D44" s="31">
        <f t="shared" si="25"/>
        <v>24.154469999999996</v>
      </c>
      <c r="E44" s="61"/>
      <c r="F44" s="55"/>
      <c r="G44" s="56"/>
      <c r="H44" s="32"/>
      <c r="I44" s="33"/>
      <c r="J44" s="50"/>
      <c r="K44" s="65"/>
      <c r="M44">
        <f t="shared" si="23"/>
        <v>22</v>
      </c>
      <c r="N44" s="10">
        <f t="shared" si="26"/>
        <v>0.0362</v>
      </c>
      <c r="P44" s="10">
        <f t="shared" si="27"/>
        <v>0.0359</v>
      </c>
    </row>
    <row r="45" spans="1:16" ht="15.75">
      <c r="A45" s="42" t="s">
        <v>98</v>
      </c>
      <c r="B45" s="46">
        <f t="shared" si="24"/>
        <v>0.05347278911564626</v>
      </c>
      <c r="C45" s="47" t="s">
        <v>96</v>
      </c>
      <c r="D45" s="31">
        <f t="shared" si="25"/>
        <v>35.89628333333333</v>
      </c>
      <c r="E45" s="61"/>
      <c r="F45" s="55"/>
      <c r="G45" s="56"/>
      <c r="H45" s="32"/>
      <c r="I45" s="33"/>
      <c r="J45" s="50"/>
      <c r="K45" s="65"/>
      <c r="M45">
        <f t="shared" si="23"/>
        <v>23</v>
      </c>
      <c r="N45" s="10">
        <f t="shared" si="26"/>
        <v>0.0641</v>
      </c>
      <c r="P45" s="10">
        <f t="shared" si="27"/>
        <v>0.0495</v>
      </c>
    </row>
    <row r="46" spans="1:16" ht="15.75">
      <c r="A46" s="42" t="s">
        <v>99</v>
      </c>
      <c r="B46" s="46">
        <f t="shared" si="24"/>
        <v>0.08677210884353741</v>
      </c>
      <c r="C46" s="47" t="s">
        <v>96</v>
      </c>
      <c r="D46" s="31">
        <f t="shared" si="25"/>
        <v>58.25011666666664</v>
      </c>
      <c r="E46" s="61"/>
      <c r="F46" s="55"/>
      <c r="G46" s="56"/>
      <c r="H46" s="32"/>
      <c r="I46" s="33"/>
      <c r="J46" s="50"/>
      <c r="K46" s="65"/>
      <c r="M46">
        <f t="shared" si="23"/>
        <v>24</v>
      </c>
      <c r="N46" s="10">
        <f t="shared" si="26"/>
        <v>0.1089</v>
      </c>
      <c r="P46" s="10">
        <f t="shared" si="27"/>
        <v>0.0785</v>
      </c>
    </row>
    <row r="47" spans="1:16" ht="15.75">
      <c r="A47" s="42" t="s">
        <v>100</v>
      </c>
      <c r="B47" s="46">
        <f t="shared" si="24"/>
        <v>0.06649319727891156</v>
      </c>
      <c r="C47" s="47" t="s">
        <v>96</v>
      </c>
      <c r="D47" s="31">
        <f t="shared" si="25"/>
        <v>44.63688333333332</v>
      </c>
      <c r="E47" s="61"/>
      <c r="F47" s="55"/>
      <c r="G47" s="56"/>
      <c r="H47" s="32"/>
      <c r="I47" s="33"/>
      <c r="J47" s="50"/>
      <c r="K47" s="65"/>
      <c r="M47">
        <f t="shared" si="23"/>
        <v>25</v>
      </c>
      <c r="N47" s="10">
        <f t="shared" si="26"/>
        <v>0.0852</v>
      </c>
      <c r="P47" s="10">
        <f t="shared" si="27"/>
        <v>0.0595</v>
      </c>
    </row>
    <row r="48" spans="1:16" ht="15.75">
      <c r="A48" s="42" t="s">
        <v>101</v>
      </c>
      <c r="B48" s="46">
        <f t="shared" si="24"/>
        <v>0.00030952380952380966</v>
      </c>
      <c r="C48" s="47" t="s">
        <v>96</v>
      </c>
      <c r="D48" s="31">
        <f t="shared" si="25"/>
        <v>0.2077833333333334</v>
      </c>
      <c r="E48" s="60"/>
      <c r="F48" s="33"/>
      <c r="G48" s="50"/>
      <c r="H48" s="32"/>
      <c r="I48" s="33"/>
      <c r="J48" s="50"/>
      <c r="K48" s="65"/>
      <c r="M48">
        <f t="shared" si="23"/>
        <v>26</v>
      </c>
      <c r="N48" s="10">
        <f t="shared" si="26"/>
        <v>-0.0002</v>
      </c>
      <c r="P48" s="10">
        <f t="shared" si="27"/>
        <v>0.0005</v>
      </c>
    </row>
    <row r="49" spans="1:16" ht="12.75">
      <c r="A49" s="93"/>
      <c r="B49" s="94"/>
      <c r="C49" s="95"/>
      <c r="D49" s="96"/>
      <c r="E49" s="61"/>
      <c r="F49" s="55"/>
      <c r="G49" s="98"/>
      <c r="H49" s="97"/>
      <c r="I49" s="55"/>
      <c r="J49" s="98"/>
      <c r="K49" s="99"/>
      <c r="M49">
        <f t="shared" si="23"/>
        <v>27</v>
      </c>
      <c r="N49" s="10"/>
      <c r="P49" s="10"/>
    </row>
    <row r="50" spans="1:16" ht="15.75">
      <c r="A50" s="93" t="s">
        <v>102</v>
      </c>
      <c r="B50" s="94">
        <f>N50+(P50-N50)/(P$22-N$22)*(B$17-N$22)</f>
        <v>0.29157891156462584</v>
      </c>
      <c r="C50" s="95" t="s">
        <v>103</v>
      </c>
      <c r="D50" s="31">
        <f>B50*B$19*B$16</f>
        <v>105.01214499999998</v>
      </c>
      <c r="E50" s="61"/>
      <c r="F50" s="55"/>
      <c r="G50" s="98"/>
      <c r="H50" s="97"/>
      <c r="I50" s="55"/>
      <c r="J50" s="98"/>
      <c r="K50" s="99"/>
      <c r="M50">
        <f t="shared" si="23"/>
        <v>28</v>
      </c>
      <c r="N50" s="10">
        <f>HLOOKUP(N$22,P1_1.102a,$M50)</f>
        <v>0.2736</v>
      </c>
      <c r="P50" s="10">
        <f>HLOOKUP(P$22,P1_1.102a,$M50)</f>
        <v>0.2983</v>
      </c>
    </row>
    <row r="51" spans="1:16" ht="15.75">
      <c r="A51" s="93" t="s">
        <v>104</v>
      </c>
      <c r="B51" s="94">
        <f>N51+(P51-N51)/(P$22-N$22)*(B$17-N$22)</f>
        <v>0.3096401360544218</v>
      </c>
      <c r="C51" s="95" t="s">
        <v>103</v>
      </c>
      <c r="D51" s="31">
        <f>B51*B$19*B$16</f>
        <v>111.51689499999999</v>
      </c>
      <c r="E51" s="61"/>
      <c r="F51" s="55"/>
      <c r="G51" s="56"/>
      <c r="H51" s="97"/>
      <c r="I51" s="55"/>
      <c r="J51" s="98"/>
      <c r="K51" s="99"/>
      <c r="M51">
        <f t="shared" si="23"/>
        <v>29</v>
      </c>
      <c r="N51" s="10">
        <f>HLOOKUP(N$22,P1_1.102a,$M51)</f>
        <v>0.2945</v>
      </c>
      <c r="P51" s="10">
        <f>HLOOKUP(P$22,P1_1.102a,$M51)</f>
        <v>0.3153</v>
      </c>
    </row>
    <row r="52" spans="1:16" ht="16.5" thickBot="1">
      <c r="A52" s="43" t="s">
        <v>105</v>
      </c>
      <c r="B52" s="48">
        <f>N52+(P52-N52)/(P$22-N$22)*(B$17-N$22)</f>
        <v>0.3148394557823129</v>
      </c>
      <c r="C52" s="49" t="s">
        <v>103</v>
      </c>
      <c r="D52" s="35">
        <f>B52*B$19*B$16</f>
        <v>113.38942999999999</v>
      </c>
      <c r="E52" s="62"/>
      <c r="F52" s="37"/>
      <c r="G52" s="51"/>
      <c r="H52" s="36"/>
      <c r="I52" s="37"/>
      <c r="J52" s="51"/>
      <c r="K52" s="66"/>
      <c r="M52">
        <f t="shared" si="23"/>
        <v>30</v>
      </c>
      <c r="N52" s="10">
        <f>HLOOKUP(N$22,P1_1.102a,$M52)</f>
        <v>0.3005</v>
      </c>
      <c r="P52" s="10">
        <f>HLOOKUP(P$22,P1_1.102a,$M52)</f>
        <v>0.3202</v>
      </c>
    </row>
    <row r="53" spans="1:5" ht="12.75">
      <c r="A53" s="4"/>
      <c r="E53"/>
    </row>
    <row r="55" spans="1:5" ht="12.75">
      <c r="A55" s="3" t="s">
        <v>106</v>
      </c>
      <c r="D55" t="s">
        <v>54</v>
      </c>
      <c r="E55"/>
    </row>
    <row r="56" spans="1:5" ht="12.75">
      <c r="A56" s="3"/>
      <c r="E56"/>
    </row>
    <row r="57" spans="1:5" ht="12.75">
      <c r="A57" s="3"/>
      <c r="D57" s="10"/>
      <c r="E57"/>
    </row>
    <row r="58" spans="1:5" ht="12.75">
      <c r="A58" s="4" t="s">
        <v>55</v>
      </c>
      <c r="B58" s="6">
        <f>D$6</f>
        <v>7.76</v>
      </c>
      <c r="C58" t="s">
        <v>37</v>
      </c>
      <c r="E58"/>
    </row>
    <row r="59" spans="1:5" ht="12.75">
      <c r="A59" s="4" t="s">
        <v>56</v>
      </c>
      <c r="B59" s="6">
        <f>D$7</f>
        <v>7.35</v>
      </c>
      <c r="C59" t="s">
        <v>37</v>
      </c>
      <c r="E59"/>
    </row>
    <row r="60" spans="1:14" ht="12.75">
      <c r="A60" s="5" t="s">
        <v>57</v>
      </c>
      <c r="B60" s="6">
        <f>B58/B59</f>
        <v>1.05578231292517</v>
      </c>
      <c r="M60" s="12"/>
      <c r="N60" s="12"/>
    </row>
    <row r="61" spans="1:5" ht="12.75">
      <c r="A61" s="5" t="s">
        <v>58</v>
      </c>
      <c r="B61" s="6">
        <f>B59/B58</f>
        <v>0.9471649484536082</v>
      </c>
      <c r="E61"/>
    </row>
    <row r="62" spans="1:5" ht="14.25">
      <c r="A62" s="4" t="s">
        <v>59</v>
      </c>
      <c r="B62" s="1">
        <f>2/3*D$8*D$7</f>
        <v>48.99999999999999</v>
      </c>
      <c r="C62" t="s">
        <v>60</v>
      </c>
      <c r="E62"/>
    </row>
    <row r="63" ht="12.75">
      <c r="E63"/>
    </row>
    <row r="64" ht="12.75">
      <c r="E64"/>
    </row>
    <row r="65" spans="5:16" ht="13.5" thickBot="1">
      <c r="E65"/>
      <c r="M65" s="18" t="s">
        <v>61</v>
      </c>
      <c r="N65" s="19" t="s">
        <v>62</v>
      </c>
      <c r="O65" s="18" t="s">
        <v>61</v>
      </c>
      <c r="P65" s="19" t="s">
        <v>63</v>
      </c>
    </row>
    <row r="66" spans="5:16" ht="13.5" thickBot="1">
      <c r="E66" s="57" t="s">
        <v>64</v>
      </c>
      <c r="F66" s="58"/>
      <c r="G66" s="59"/>
      <c r="H66" s="57" t="s">
        <v>65</v>
      </c>
      <c r="I66" s="58"/>
      <c r="J66" s="59"/>
      <c r="M66" s="54">
        <f>HLOOKUP($B$60,P1_1.102a,'Barès 1.102a'!I$36)</f>
        <v>4</v>
      </c>
      <c r="N66" s="21">
        <f>HLOOKUP($B$60,P1_1.102a,1)</f>
        <v>1</v>
      </c>
      <c r="O66" s="22">
        <f>M66+1</f>
        <v>5</v>
      </c>
      <c r="P66" s="21">
        <f>HLOOKUP($O$66,P2_1.102a,2)</f>
        <v>1.5</v>
      </c>
    </row>
    <row r="67" spans="1:21" s="77" customFormat="1" ht="26.25" thickBot="1">
      <c r="A67" s="68"/>
      <c r="B67" s="69"/>
      <c r="C67" s="70"/>
      <c r="D67" s="67" t="s">
        <v>66</v>
      </c>
      <c r="E67" s="71" t="s">
        <v>67</v>
      </c>
      <c r="F67" s="72" t="s">
        <v>68</v>
      </c>
      <c r="G67" s="73" t="s">
        <v>69</v>
      </c>
      <c r="H67" s="74" t="s">
        <v>67</v>
      </c>
      <c r="I67" s="72" t="s">
        <v>68</v>
      </c>
      <c r="J67" s="73" t="s">
        <v>69</v>
      </c>
      <c r="K67" s="73" t="s">
        <v>70</v>
      </c>
      <c r="M67" s="76" t="s">
        <v>61</v>
      </c>
      <c r="N67" s="76" t="s">
        <v>71</v>
      </c>
      <c r="P67" s="76" t="s">
        <v>72</v>
      </c>
      <c r="S67" s="74" t="s">
        <v>73</v>
      </c>
      <c r="T67" s="74" t="s">
        <v>74</v>
      </c>
      <c r="U67" s="78" t="s">
        <v>75</v>
      </c>
    </row>
    <row r="68" spans="1:21" ht="15.75">
      <c r="A68" s="42" t="s">
        <v>76</v>
      </c>
      <c r="B68" s="46">
        <f aca="true" t="shared" si="28" ref="B68:B77">N68+(P68-N68)/(P$66-N$66)*(B$60-N$66)</f>
        <v>-0.002755482993197279</v>
      </c>
      <c r="C68" s="47" t="s">
        <v>77</v>
      </c>
      <c r="D68" s="31">
        <f aca="true" t="shared" si="29" ref="D68:D77">B68*B$19*B$58^2</f>
        <v>-8.130500061866664</v>
      </c>
      <c r="E68" s="60">
        <f aca="true" t="shared" si="30" ref="E68:E77">(ABS($D68))/1000/$J$8/(($J$6-$J$9)*(1-(1.5/3*(1-SQRT(1-8/3*ABS($D68/1000/($J$6-$J$9)^2/$D$10))))))*10000</f>
        <v>1.5005101413790392</v>
      </c>
      <c r="F68" s="33">
        <f aca="true" t="shared" si="31" ref="F68:F77">ABS(D68*6/$J$6^2)</f>
        <v>304.89375231999986</v>
      </c>
      <c r="G68" s="104">
        <f aca="true" t="shared" si="32" ref="G68:G77">ABS($D68/($J$6^2/6+1.33*E68*10^-4*($J$6/2-$J$9)^2*14*2/$J$6))</f>
        <v>301.10409498837004</v>
      </c>
      <c r="H68" s="32">
        <f aca="true" t="shared" si="33" ref="H68:H77">(ABS($S68))/1000/$J$8/(($J$6-$J$9)*(1-(1.5/3*(1-SQRT(1-8/3*ABS($S68/1000/($J$6-$J$9)^2/$D$10))))))*10000+T68/J$8*10</f>
        <v>1.7531037205637032</v>
      </c>
      <c r="I68" s="33">
        <f aca="true" t="shared" si="34" ref="I68:I77">ABS($D68*6/$J$6^2)+T68/$J$6</f>
        <v>322.1032356533332</v>
      </c>
      <c r="J68" s="104">
        <f aca="true" t="shared" si="35" ref="J68:J77">ABS($D68/($J$6^2/6+1.33*H68*10^-4*($J$6/2-$J$9)^2*14*2/$J$6))+T68/($J$6+1.33*H68*10^-4*14)</f>
        <v>317.5455734001013</v>
      </c>
      <c r="K68" s="63">
        <f aca="true" t="shared" si="36" ref="K68:K77">1.1*U68*(0.06*$D$9+0.6)*1000</f>
        <v>4400</v>
      </c>
      <c r="M68">
        <v>2</v>
      </c>
      <c r="N68" s="10">
        <f aca="true" t="shared" si="37" ref="N68:N77">HLOOKUP(N$66,P1_1.102a,$M68)</f>
        <v>-0.0025</v>
      </c>
      <c r="P68" s="10">
        <f aca="true" t="shared" si="38" ref="P68:P77">HLOOKUP(P$66,P1_1.102a,$M68)</f>
        <v>-0.00479</v>
      </c>
      <c r="S68" s="1">
        <f aca="true" t="shared" si="39" ref="S68:S77">T68*(ABS(D68)/T68-$J$6/2+J$9)</f>
        <v>7.0635120951999975</v>
      </c>
      <c r="T68" s="1">
        <f>D43</f>
        <v>6.883793333333334</v>
      </c>
      <c r="U68" s="6">
        <f aca="true" t="shared" si="40" ref="U68:U77">IF(T68&gt;0,IF(ABS(D68)/T68&lt;$J$6,1+(2*ABS(D68)/T68)/(3*$J$6),5/3),5/3)</f>
        <v>1.6666666666666667</v>
      </c>
    </row>
    <row r="69" spans="1:21" ht="15.75">
      <c r="A69" s="42" t="s">
        <v>78</v>
      </c>
      <c r="B69" s="46">
        <f t="shared" si="28"/>
        <v>0.0025624761904761905</v>
      </c>
      <c r="C69" s="47" t="s">
        <v>77</v>
      </c>
      <c r="D69" s="31">
        <f t="shared" si="29"/>
        <v>7.561002146133333</v>
      </c>
      <c r="E69" s="60">
        <f t="shared" si="30"/>
        <v>1.3951723006485874</v>
      </c>
      <c r="F69" s="33">
        <f t="shared" si="31"/>
        <v>283.5375804799999</v>
      </c>
      <c r="G69" s="104">
        <f t="shared" si="32"/>
        <v>280.2579110560532</v>
      </c>
      <c r="H69" s="32">
        <f t="shared" si="33"/>
        <v>1.6478324938268136</v>
      </c>
      <c r="I69" s="33">
        <f t="shared" si="34"/>
        <v>300.7470638133332</v>
      </c>
      <c r="J69" s="104">
        <f t="shared" si="35"/>
        <v>296.75055319280284</v>
      </c>
      <c r="K69" s="64">
        <f t="shared" si="36"/>
        <v>4400</v>
      </c>
      <c r="M69">
        <f aca="true" t="shared" si="41" ref="M69:M84">M68+1</f>
        <v>3</v>
      </c>
      <c r="N69" s="10">
        <f t="shared" si="37"/>
        <v>0.0025</v>
      </c>
      <c r="P69" s="10">
        <f t="shared" si="38"/>
        <v>0.00306</v>
      </c>
      <c r="S69" s="1">
        <f t="shared" si="39"/>
        <v>6.494014179466667</v>
      </c>
      <c r="T69" s="1">
        <f>T68</f>
        <v>6.883793333333334</v>
      </c>
      <c r="U69" s="6">
        <f t="shared" si="40"/>
        <v>1.6666666666666667</v>
      </c>
    </row>
    <row r="70" spans="1:21" ht="15.75">
      <c r="A70" s="42" t="s">
        <v>79</v>
      </c>
      <c r="B70" s="46">
        <f t="shared" si="28"/>
        <v>-0.006305578231292517</v>
      </c>
      <c r="C70" s="47" t="s">
        <v>77</v>
      </c>
      <c r="D70" s="31">
        <f t="shared" si="29"/>
        <v>-18.605632597333333</v>
      </c>
      <c r="E70" s="60">
        <f t="shared" si="30"/>
        <v>3.444443549009404</v>
      </c>
      <c r="F70" s="33">
        <f t="shared" si="31"/>
        <v>697.7112223999999</v>
      </c>
      <c r="G70" s="104">
        <f t="shared" si="32"/>
        <v>678.1196301690637</v>
      </c>
      <c r="H70" s="32">
        <f t="shared" si="33"/>
        <v>4.326983434067756</v>
      </c>
      <c r="I70" s="33">
        <f t="shared" si="34"/>
        <v>758.0973973999999</v>
      </c>
      <c r="J70" s="104">
        <f t="shared" si="35"/>
        <v>732.4695370778235</v>
      </c>
      <c r="K70" s="64">
        <f t="shared" si="36"/>
        <v>4400</v>
      </c>
      <c r="M70">
        <f t="shared" si="41"/>
        <v>4</v>
      </c>
      <c r="N70" s="10">
        <f t="shared" si="37"/>
        <v>-0.0063</v>
      </c>
      <c r="P70" s="10">
        <f t="shared" si="38"/>
        <v>-0.00635</v>
      </c>
      <c r="S70" s="1">
        <f t="shared" si="39"/>
        <v>14.861689747333333</v>
      </c>
      <c r="T70" s="1">
        <f>D44</f>
        <v>24.154469999999996</v>
      </c>
      <c r="U70" s="6">
        <f t="shared" si="40"/>
        <v>1.6666666666666667</v>
      </c>
    </row>
    <row r="71" spans="1:21" ht="15.75">
      <c r="A71" s="42" t="s">
        <v>80</v>
      </c>
      <c r="B71" s="46">
        <f t="shared" si="28"/>
        <v>0.003555374149659864</v>
      </c>
      <c r="C71" s="47" t="s">
        <v>77</v>
      </c>
      <c r="D71" s="31">
        <f t="shared" si="29"/>
        <v>10.490708821333332</v>
      </c>
      <c r="E71" s="60">
        <f t="shared" si="30"/>
        <v>1.9374488576548832</v>
      </c>
      <c r="F71" s="33">
        <f t="shared" si="31"/>
        <v>393.40158079999986</v>
      </c>
      <c r="G71" s="104">
        <f t="shared" si="32"/>
        <v>387.11072406197053</v>
      </c>
      <c r="H71" s="32">
        <f t="shared" si="33"/>
        <v>2.823351469602268</v>
      </c>
      <c r="I71" s="33">
        <f t="shared" si="34"/>
        <v>453.78775579999984</v>
      </c>
      <c r="J71" s="104">
        <f t="shared" si="35"/>
        <v>443.90359338219673</v>
      </c>
      <c r="K71" s="64">
        <f t="shared" si="36"/>
        <v>4400</v>
      </c>
      <c r="M71">
        <f t="shared" si="41"/>
        <v>5</v>
      </c>
      <c r="N71" s="10">
        <f t="shared" si="37"/>
        <v>0.0036</v>
      </c>
      <c r="P71" s="10">
        <f t="shared" si="38"/>
        <v>0.0032</v>
      </c>
      <c r="S71" s="1">
        <f t="shared" si="39"/>
        <v>6.746765971333331</v>
      </c>
      <c r="T71" s="1">
        <f>T70</f>
        <v>24.154469999999996</v>
      </c>
      <c r="U71" s="6">
        <f t="shared" si="40"/>
        <v>1.6666666666666667</v>
      </c>
    </row>
    <row r="72" spans="1:21" ht="15.75">
      <c r="A72" s="42" t="s">
        <v>81</v>
      </c>
      <c r="B72" s="46">
        <f t="shared" si="28"/>
        <v>-0.011364897959183674</v>
      </c>
      <c r="C72" s="47" t="s">
        <v>77</v>
      </c>
      <c r="D72" s="31">
        <f t="shared" si="29"/>
        <v>-33.53397708799999</v>
      </c>
      <c r="E72" s="60">
        <f t="shared" si="30"/>
        <v>6.236056244911289</v>
      </c>
      <c r="F72" s="33">
        <f t="shared" si="31"/>
        <v>1257.5241407999995</v>
      </c>
      <c r="G72" s="104">
        <f t="shared" si="32"/>
        <v>1195.0171616340049</v>
      </c>
      <c r="H72" s="32">
        <f t="shared" si="33"/>
        <v>7.538802804458289</v>
      </c>
      <c r="I72" s="33">
        <f t="shared" si="34"/>
        <v>1347.2648491333327</v>
      </c>
      <c r="J72" s="104">
        <f t="shared" si="35"/>
        <v>1269.433904718149</v>
      </c>
      <c r="K72" s="64">
        <f t="shared" si="36"/>
        <v>4400</v>
      </c>
      <c r="M72">
        <f t="shared" si="41"/>
        <v>6</v>
      </c>
      <c r="N72" s="10">
        <f t="shared" si="37"/>
        <v>-0.0118</v>
      </c>
      <c r="P72" s="10">
        <f t="shared" si="38"/>
        <v>-0.0079</v>
      </c>
      <c r="S72" s="1">
        <f t="shared" si="39"/>
        <v>27.97005317133333</v>
      </c>
      <c r="T72" s="1">
        <f>D45</f>
        <v>35.89628333333333</v>
      </c>
      <c r="U72" s="6">
        <f t="shared" si="40"/>
        <v>1.6666666666666667</v>
      </c>
    </row>
    <row r="73" spans="1:21" ht="15.75">
      <c r="A73" s="42" t="s">
        <v>82</v>
      </c>
      <c r="B73" s="46">
        <f t="shared" si="28"/>
        <v>0.005538938775510204</v>
      </c>
      <c r="C73" s="47" t="s">
        <v>77</v>
      </c>
      <c r="D73" s="31">
        <f t="shared" si="29"/>
        <v>16.3435383808</v>
      </c>
      <c r="E73" s="60">
        <f t="shared" si="30"/>
        <v>3.023621840509676</v>
      </c>
      <c r="F73" s="33">
        <f t="shared" si="31"/>
        <v>612.8826892799998</v>
      </c>
      <c r="G73" s="104">
        <f t="shared" si="32"/>
        <v>597.7236302464884</v>
      </c>
      <c r="H73" s="32">
        <f t="shared" si="33"/>
        <v>4.337137581893049</v>
      </c>
      <c r="I73" s="33">
        <f t="shared" si="34"/>
        <v>702.623397613333</v>
      </c>
      <c r="J73" s="104">
        <f t="shared" si="35"/>
        <v>679.3341751614246</v>
      </c>
      <c r="K73" s="64">
        <f t="shared" si="36"/>
        <v>4400</v>
      </c>
      <c r="M73">
        <f t="shared" si="41"/>
        <v>7</v>
      </c>
      <c r="N73" s="10">
        <f t="shared" si="37"/>
        <v>0.0058</v>
      </c>
      <c r="P73" s="10">
        <f t="shared" si="38"/>
        <v>0.00346</v>
      </c>
      <c r="S73" s="1">
        <f t="shared" si="39"/>
        <v>10.779614464133331</v>
      </c>
      <c r="T73" s="1">
        <f>T72</f>
        <v>35.89628333333333</v>
      </c>
      <c r="U73" s="6">
        <f t="shared" si="40"/>
        <v>1.6666666666666667</v>
      </c>
    </row>
    <row r="74" spans="1:21" ht="15.75">
      <c r="A74" s="42" t="s">
        <v>83</v>
      </c>
      <c r="B74" s="46">
        <f t="shared" si="28"/>
        <v>-0.015599673469387757</v>
      </c>
      <c r="C74" s="47" t="s">
        <v>77</v>
      </c>
      <c r="D74" s="31">
        <f t="shared" si="29"/>
        <v>-46.0293699584</v>
      </c>
      <c r="E74" s="60">
        <f t="shared" si="30"/>
        <v>8.59237155078233</v>
      </c>
      <c r="F74" s="33">
        <f t="shared" si="31"/>
        <v>1726.1013734399996</v>
      </c>
      <c r="G74" s="104">
        <f t="shared" si="32"/>
        <v>1610.0633412160885</v>
      </c>
      <c r="H74" s="32">
        <f t="shared" si="33"/>
        <v>10.695154636544146</v>
      </c>
      <c r="I74" s="33">
        <f t="shared" si="34"/>
        <v>1871.7266651066661</v>
      </c>
      <c r="J74" s="104">
        <f t="shared" si="35"/>
        <v>1722.7225420488037</v>
      </c>
      <c r="K74" s="64">
        <f t="shared" si="36"/>
        <v>4400</v>
      </c>
      <c r="M74">
        <f t="shared" si="41"/>
        <v>8</v>
      </c>
      <c r="N74" s="10">
        <f t="shared" si="37"/>
        <v>-0.0165</v>
      </c>
      <c r="P74" s="10">
        <f t="shared" si="38"/>
        <v>-0.00843</v>
      </c>
      <c r="S74" s="1">
        <f t="shared" si="39"/>
        <v>37.000601875066664</v>
      </c>
      <c r="T74" s="1">
        <f>D46</f>
        <v>58.25011666666664</v>
      </c>
      <c r="U74" s="6">
        <f t="shared" si="40"/>
        <v>1.6666666666666667</v>
      </c>
    </row>
    <row r="75" spans="1:21" ht="15.75">
      <c r="A75" s="42" t="s">
        <v>84</v>
      </c>
      <c r="B75" s="46">
        <f t="shared" si="28"/>
        <v>0.006748163265306123</v>
      </c>
      <c r="C75" s="47" t="s">
        <v>77</v>
      </c>
      <c r="D75" s="31">
        <f t="shared" si="29"/>
        <v>19.911551616</v>
      </c>
      <c r="E75" s="60">
        <f t="shared" si="30"/>
        <v>3.687646630136821</v>
      </c>
      <c r="F75" s="33">
        <f t="shared" si="31"/>
        <v>746.6831855999999</v>
      </c>
      <c r="G75" s="104">
        <f t="shared" si="32"/>
        <v>724.2804824004493</v>
      </c>
      <c r="H75" s="32">
        <f t="shared" si="33"/>
        <v>5.817289113695153</v>
      </c>
      <c r="I75" s="33">
        <f t="shared" si="34"/>
        <v>892.3084772666665</v>
      </c>
      <c r="J75" s="104">
        <f t="shared" si="35"/>
        <v>853.7304772170738</v>
      </c>
      <c r="K75" s="64">
        <f t="shared" si="36"/>
        <v>4144.045521689657</v>
      </c>
      <c r="M75">
        <f t="shared" si="41"/>
        <v>9</v>
      </c>
      <c r="N75" s="10">
        <f t="shared" si="37"/>
        <v>0.0072</v>
      </c>
      <c r="P75" s="10">
        <f t="shared" si="38"/>
        <v>0.00315</v>
      </c>
      <c r="S75" s="1">
        <f t="shared" si="39"/>
        <v>10.882783532666672</v>
      </c>
      <c r="T75" s="1">
        <f>T74</f>
        <v>58.25011666666664</v>
      </c>
      <c r="U75" s="6">
        <f t="shared" si="40"/>
        <v>1.5697142127612336</v>
      </c>
    </row>
    <row r="76" spans="1:21" ht="15.75">
      <c r="A76" s="42" t="s">
        <v>85</v>
      </c>
      <c r="B76" s="46">
        <f t="shared" si="28"/>
        <v>-0.011121278911564628</v>
      </c>
      <c r="C76" s="47" t="s">
        <v>77</v>
      </c>
      <c r="D76" s="31">
        <f t="shared" si="29"/>
        <v>-32.81513952426667</v>
      </c>
      <c r="E76" s="60">
        <f t="shared" si="30"/>
        <v>6.1010515437432336</v>
      </c>
      <c r="F76" s="33">
        <f t="shared" si="31"/>
        <v>1230.5677321599999</v>
      </c>
      <c r="G76" s="104">
        <f t="shared" si="32"/>
        <v>1170.6604016875156</v>
      </c>
      <c r="H76" s="32">
        <f t="shared" si="33"/>
        <v>7.722113950671766</v>
      </c>
      <c r="I76" s="33">
        <f t="shared" si="34"/>
        <v>1342.1599404933331</v>
      </c>
      <c r="J76" s="104">
        <f t="shared" si="35"/>
        <v>1263.4312283827126</v>
      </c>
      <c r="K76" s="64">
        <f t="shared" si="36"/>
        <v>4400</v>
      </c>
      <c r="M76">
        <f t="shared" si="41"/>
        <v>10</v>
      </c>
      <c r="N76" s="10">
        <f t="shared" si="37"/>
        <v>-0.0119</v>
      </c>
      <c r="P76" s="10">
        <f t="shared" si="38"/>
        <v>-0.00492</v>
      </c>
      <c r="S76" s="1">
        <f t="shared" si="39"/>
        <v>25.896422607600005</v>
      </c>
      <c r="T76" s="1">
        <f>D47</f>
        <v>44.63688333333332</v>
      </c>
      <c r="U76" s="6">
        <f t="shared" si="40"/>
        <v>1.6666666666666667</v>
      </c>
    </row>
    <row r="77" spans="1:21" ht="15.75">
      <c r="A77" s="42" t="s">
        <v>86</v>
      </c>
      <c r="B77" s="46">
        <f t="shared" si="28"/>
        <v>0.0037608435374149665</v>
      </c>
      <c r="C77" s="47" t="s">
        <v>77</v>
      </c>
      <c r="D77" s="31">
        <f t="shared" si="29"/>
        <v>11.096979618133332</v>
      </c>
      <c r="E77" s="60">
        <f t="shared" si="30"/>
        <v>2.049785078471553</v>
      </c>
      <c r="F77" s="33">
        <f t="shared" si="31"/>
        <v>416.1367356799999</v>
      </c>
      <c r="G77" s="104">
        <f t="shared" si="32"/>
        <v>409.10301126251136</v>
      </c>
      <c r="H77" s="32">
        <f t="shared" si="33"/>
        <v>3.6876552623644416</v>
      </c>
      <c r="I77" s="33">
        <f t="shared" si="34"/>
        <v>527.7289440133331</v>
      </c>
      <c r="J77" s="104">
        <f t="shared" si="35"/>
        <v>513.360315705893</v>
      </c>
      <c r="K77" s="64">
        <f t="shared" si="36"/>
        <v>3733.8646848429157</v>
      </c>
      <c r="M77">
        <f t="shared" si="41"/>
        <v>11</v>
      </c>
      <c r="N77" s="10">
        <f t="shared" si="37"/>
        <v>0.0041</v>
      </c>
      <c r="P77" s="10">
        <f t="shared" si="38"/>
        <v>0.00106</v>
      </c>
      <c r="S77" s="1">
        <f t="shared" si="39"/>
        <v>4.178262701466666</v>
      </c>
      <c r="T77" s="1">
        <f>T76</f>
        <v>44.63688333333332</v>
      </c>
      <c r="U77" s="6">
        <f t="shared" si="40"/>
        <v>1.4143426836526196</v>
      </c>
    </row>
    <row r="78" spans="1:21" ht="12.75">
      <c r="A78" s="42"/>
      <c r="B78" s="46"/>
      <c r="C78" s="47"/>
      <c r="D78" s="31"/>
      <c r="E78" s="60"/>
      <c r="F78" s="33"/>
      <c r="G78" s="104"/>
      <c r="H78" s="32"/>
      <c r="I78" s="33"/>
      <c r="J78" s="50"/>
      <c r="K78" s="65"/>
      <c r="M78">
        <f t="shared" si="41"/>
        <v>12</v>
      </c>
      <c r="N78" s="10"/>
      <c r="P78" s="10"/>
      <c r="U78" s="6"/>
    </row>
    <row r="79" spans="1:21" ht="15.75">
      <c r="A79" s="42" t="s">
        <v>87</v>
      </c>
      <c r="B79" s="46">
        <f aca="true" t="shared" si="42" ref="B79:B85">N79+(P79-N79)/(P$66-N$66)*(B$60-N$66)</f>
        <v>-7.687074829931998E-05</v>
      </c>
      <c r="C79" s="47" t="s">
        <v>88</v>
      </c>
      <c r="D79" s="31">
        <f aca="true" t="shared" si="43" ref="D79:D85">B79*B$19*B$59^2</f>
        <v>-0.20348475000000063</v>
      </c>
      <c r="E79" s="60">
        <f aca="true" t="shared" si="44" ref="E79:E85">(ABS($D79))/1000/$J$8/(($J$6-$J$9)*(1-(1.5/3*(1-SQRT(1-8/3*ABS($D79/1000/($J$6-$J$9)^2/$D$10))))))*10000</f>
        <v>0.03746606280582263</v>
      </c>
      <c r="F79" s="33">
        <f aca="true" t="shared" si="45" ref="F79:F85">ABS(D79*6/$J$6^2)</f>
        <v>7.6306781250000215</v>
      </c>
      <c r="G79" s="104">
        <f aca="true" t="shared" si="46" ref="G79:G85">ABS($D79/($J$6^2/6+1.33*E79*10^-4*($J$6/2-$J$9)^2*14*2/$J$6))</f>
        <v>7.628280898451729</v>
      </c>
      <c r="H79" s="32"/>
      <c r="I79" s="33"/>
      <c r="J79" s="50"/>
      <c r="K79" s="64">
        <f aca="true" t="shared" si="47" ref="K79:K85">1.1*U79*(0.06*$D$9+0.6)*1000</f>
        <v>4400</v>
      </c>
      <c r="M79">
        <f t="shared" si="41"/>
        <v>13</v>
      </c>
      <c r="N79" s="10">
        <f aca="true" t="shared" si="48" ref="N79:N85">HLOOKUP(N$66,P1_1.102a,$M79)</f>
        <v>-0.0003</v>
      </c>
      <c r="P79" s="10">
        <f aca="true" t="shared" si="49" ref="P79:P85">HLOOKUP(P$66,P1_1.102a,$M79)</f>
        <v>0.0017</v>
      </c>
      <c r="U79" s="6">
        <f aca="true" t="shared" si="50" ref="U79:U85">IF(T79&gt;0,IF(ABS(D79)/T79&lt;$J$6,1+(2*ABS(D79)/T79)/(3*$J$6),5/3),5/3)</f>
        <v>1.6666666666666667</v>
      </c>
    </row>
    <row r="80" spans="1:21" ht="15.75">
      <c r="A80" s="42" t="s">
        <v>89</v>
      </c>
      <c r="B80" s="46">
        <f t="shared" si="42"/>
        <v>0.0030351020408163256</v>
      </c>
      <c r="C80" s="47" t="s">
        <v>88</v>
      </c>
      <c r="D80" s="31">
        <f t="shared" si="43"/>
        <v>8.034226199999996</v>
      </c>
      <c r="E80" s="60">
        <f t="shared" si="44"/>
        <v>1.4827002352744558</v>
      </c>
      <c r="F80" s="33">
        <f t="shared" si="45"/>
        <v>301.28348249999976</v>
      </c>
      <c r="G80" s="104">
        <f t="shared" si="46"/>
        <v>297.5826005166467</v>
      </c>
      <c r="H80" s="32"/>
      <c r="I80" s="33"/>
      <c r="J80" s="50"/>
      <c r="K80" s="64">
        <f t="shared" si="47"/>
        <v>4400</v>
      </c>
      <c r="M80">
        <f t="shared" si="41"/>
        <v>14</v>
      </c>
      <c r="N80" s="10">
        <f t="shared" si="48"/>
        <v>0.0026</v>
      </c>
      <c r="P80" s="10">
        <f t="shared" si="49"/>
        <v>0.0065</v>
      </c>
      <c r="U80" s="6">
        <f t="shared" si="50"/>
        <v>1.6666666666666667</v>
      </c>
    </row>
    <row r="81" spans="1:21" ht="15.75">
      <c r="A81" s="42" t="s">
        <v>90</v>
      </c>
      <c r="B81" s="46">
        <f t="shared" si="42"/>
        <v>0.007879319727891156</v>
      </c>
      <c r="C81" s="47" t="s">
        <v>88</v>
      </c>
      <c r="D81" s="31">
        <f t="shared" si="43"/>
        <v>20.857366949999992</v>
      </c>
      <c r="E81" s="60">
        <f t="shared" si="44"/>
        <v>3.8639064871341637</v>
      </c>
      <c r="F81" s="33">
        <f t="shared" si="45"/>
        <v>782.1512606249995</v>
      </c>
      <c r="G81" s="104">
        <f t="shared" si="46"/>
        <v>757.5979672512132</v>
      </c>
      <c r="H81" s="32"/>
      <c r="I81" s="33"/>
      <c r="J81" s="50"/>
      <c r="K81" s="64">
        <f t="shared" si="47"/>
        <v>4400</v>
      </c>
      <c r="M81">
        <f t="shared" si="41"/>
        <v>15</v>
      </c>
      <c r="N81" s="10">
        <f t="shared" si="48"/>
        <v>0.0075</v>
      </c>
      <c r="P81" s="10">
        <f t="shared" si="49"/>
        <v>0.0109</v>
      </c>
      <c r="U81" s="6">
        <f t="shared" si="50"/>
        <v>1.6666666666666667</v>
      </c>
    </row>
    <row r="82" spans="1:21" ht="15.75">
      <c r="A82" s="42" t="s">
        <v>91</v>
      </c>
      <c r="B82" s="46">
        <f t="shared" si="42"/>
        <v>0.005087619047619048</v>
      </c>
      <c r="C82" s="47" t="s">
        <v>88</v>
      </c>
      <c r="D82" s="31">
        <f t="shared" si="43"/>
        <v>13.4674491</v>
      </c>
      <c r="E82" s="60">
        <f t="shared" si="44"/>
        <v>2.489400364521069</v>
      </c>
      <c r="F82" s="33">
        <f t="shared" si="45"/>
        <v>505.02934124999996</v>
      </c>
      <c r="G82" s="104">
        <f t="shared" si="46"/>
        <v>494.699804791392</v>
      </c>
      <c r="H82" s="32"/>
      <c r="I82" s="33"/>
      <c r="J82" s="50"/>
      <c r="K82" s="64">
        <f t="shared" si="47"/>
        <v>4400</v>
      </c>
      <c r="M82">
        <f t="shared" si="41"/>
        <v>16</v>
      </c>
      <c r="N82" s="10">
        <f t="shared" si="48"/>
        <v>0.0054</v>
      </c>
      <c r="P82" s="10">
        <f t="shared" si="49"/>
        <v>0.0026</v>
      </c>
      <c r="U82" s="6">
        <f t="shared" si="50"/>
        <v>1.6666666666666667</v>
      </c>
    </row>
    <row r="83" spans="1:21" ht="15.75">
      <c r="A83" s="42" t="s">
        <v>92</v>
      </c>
      <c r="B83" s="46">
        <f t="shared" si="42"/>
        <v>-0.019960680272108844</v>
      </c>
      <c r="C83" s="47" t="s">
        <v>88</v>
      </c>
      <c r="D83" s="31">
        <f t="shared" si="43"/>
        <v>-52.83796664999999</v>
      </c>
      <c r="E83" s="60">
        <f t="shared" si="44"/>
        <v>9.88400435609025</v>
      </c>
      <c r="F83" s="33">
        <f t="shared" si="45"/>
        <v>1981.4237493749993</v>
      </c>
      <c r="G83" s="104">
        <f t="shared" si="46"/>
        <v>1829.731097901259</v>
      </c>
      <c r="H83" s="32"/>
      <c r="I83" s="33"/>
      <c r="J83" s="50"/>
      <c r="K83" s="64">
        <f t="shared" si="47"/>
        <v>4400</v>
      </c>
      <c r="M83">
        <f t="shared" si="41"/>
        <v>17</v>
      </c>
      <c r="N83" s="10">
        <f t="shared" si="48"/>
        <v>-0.0187</v>
      </c>
      <c r="P83" s="10">
        <f t="shared" si="49"/>
        <v>-0.03</v>
      </c>
      <c r="U83" s="6">
        <f t="shared" si="50"/>
        <v>1.6666666666666667</v>
      </c>
    </row>
    <row r="84" spans="1:21" ht="15.75">
      <c r="A84" s="42" t="s">
        <v>93</v>
      </c>
      <c r="B84" s="46">
        <f t="shared" si="42"/>
        <v>-0.02452721088435374</v>
      </c>
      <c r="C84" s="47" t="s">
        <v>88</v>
      </c>
      <c r="D84" s="31">
        <f t="shared" si="43"/>
        <v>-64.92604124999998</v>
      </c>
      <c r="E84" s="60">
        <f t="shared" si="44"/>
        <v>12.19083991145428</v>
      </c>
      <c r="F84" s="33">
        <f t="shared" si="45"/>
        <v>2434.7265468749993</v>
      </c>
      <c r="G84" s="104">
        <f t="shared" si="46"/>
        <v>2208.862712222931</v>
      </c>
      <c r="H84" s="32"/>
      <c r="I84" s="33"/>
      <c r="J84" s="50"/>
      <c r="K84" s="64">
        <f t="shared" si="47"/>
        <v>4400</v>
      </c>
      <c r="M84">
        <f t="shared" si="41"/>
        <v>18</v>
      </c>
      <c r="N84" s="10">
        <f t="shared" si="48"/>
        <v>-0.0233</v>
      </c>
      <c r="P84" s="10">
        <f t="shared" si="49"/>
        <v>-0.0343</v>
      </c>
      <c r="U84" s="6">
        <f t="shared" si="50"/>
        <v>1.6666666666666667</v>
      </c>
    </row>
    <row r="85" spans="1:21" ht="15.75">
      <c r="A85" s="42" t="s">
        <v>94</v>
      </c>
      <c r="B85" s="46">
        <f t="shared" si="42"/>
        <v>-0.024883401360544215</v>
      </c>
      <c r="C85" s="47" t="s">
        <v>88</v>
      </c>
      <c r="D85" s="31">
        <f t="shared" si="43"/>
        <v>-65.86891394999998</v>
      </c>
      <c r="E85" s="60">
        <f t="shared" si="44"/>
        <v>12.371517248722688</v>
      </c>
      <c r="F85" s="33">
        <f t="shared" si="45"/>
        <v>2470.0842731249986</v>
      </c>
      <c r="G85" s="104">
        <f t="shared" si="46"/>
        <v>2237.8635792874725</v>
      </c>
      <c r="H85" s="32"/>
      <c r="I85" s="33"/>
      <c r="J85" s="50"/>
      <c r="K85" s="64">
        <f t="shared" si="47"/>
        <v>4400</v>
      </c>
      <c r="M85">
        <f aca="true" t="shared" si="51" ref="M85:M96">M84+1</f>
        <v>19</v>
      </c>
      <c r="N85" s="10">
        <f t="shared" si="48"/>
        <v>-0.0235</v>
      </c>
      <c r="P85" s="10">
        <f t="shared" si="49"/>
        <v>-0.0359</v>
      </c>
      <c r="U85" s="6">
        <f t="shared" si="50"/>
        <v>1.6666666666666667</v>
      </c>
    </row>
    <row r="86" spans="1:16" ht="12.75">
      <c r="A86" s="42"/>
      <c r="B86" s="46"/>
      <c r="C86" s="47"/>
      <c r="D86" s="31"/>
      <c r="E86" s="60"/>
      <c r="F86" s="33"/>
      <c r="G86" s="34">
        <f>IF(ABS($D86)&gt;$J$10,"--&gt; As comprimés requis","")</f>
      </c>
      <c r="H86" s="32"/>
      <c r="I86" s="33"/>
      <c r="J86" s="50"/>
      <c r="K86" s="65"/>
      <c r="M86">
        <f t="shared" si="51"/>
        <v>20</v>
      </c>
      <c r="N86" s="10"/>
      <c r="P86" s="10"/>
    </row>
    <row r="87" spans="1:16" ht="15.75">
      <c r="A87" s="42" t="s">
        <v>95</v>
      </c>
      <c r="B87" s="46">
        <f aca="true" t="shared" si="52" ref="B87:B92">N87+(P87-N87)/(P$66-N$66)*(B$60-N$66)</f>
        <v>-0.013804217687074832</v>
      </c>
      <c r="C87" s="47" t="s">
        <v>96</v>
      </c>
      <c r="D87" s="31">
        <f aca="true" t="shared" si="53" ref="D87:D92">B87*B$19*B$58</f>
        <v>-5.248915733333333</v>
      </c>
      <c r="E87" s="61"/>
      <c r="F87" s="55"/>
      <c r="G87" s="56"/>
      <c r="H87" s="32"/>
      <c r="I87" s="33"/>
      <c r="J87" s="50"/>
      <c r="K87" s="65"/>
      <c r="M87">
        <f t="shared" si="51"/>
        <v>21</v>
      </c>
      <c r="N87" s="10">
        <f aca="true" t="shared" si="54" ref="N87:N92">HLOOKUP(N$66,P1_1.102a,$M87)</f>
        <v>-0.0155</v>
      </c>
      <c r="P87" s="10">
        <f aca="true" t="shared" si="55" ref="P87:P92">HLOOKUP(P$66,P1_1.102a,$M87)</f>
        <v>-0.0003</v>
      </c>
    </row>
    <row r="88" spans="1:16" ht="15.75">
      <c r="A88" s="42" t="s">
        <v>97</v>
      </c>
      <c r="B88" s="46">
        <f t="shared" si="52"/>
        <v>0.026960272108843535</v>
      </c>
      <c r="C88" s="47" t="s">
        <v>96</v>
      </c>
      <c r="D88" s="31">
        <f t="shared" si="53"/>
        <v>10.251373866666663</v>
      </c>
      <c r="E88" s="61"/>
      <c r="F88" s="55"/>
      <c r="G88" s="56"/>
      <c r="H88" s="32"/>
      <c r="I88" s="33"/>
      <c r="J88" s="50"/>
      <c r="K88" s="65"/>
      <c r="M88">
        <f t="shared" si="51"/>
        <v>22</v>
      </c>
      <c r="N88" s="10">
        <f t="shared" si="54"/>
        <v>0.0258</v>
      </c>
      <c r="P88" s="10">
        <f t="shared" si="55"/>
        <v>0.0362</v>
      </c>
    </row>
    <row r="89" spans="1:16" ht="15.75">
      <c r="A89" s="42" t="s">
        <v>98</v>
      </c>
      <c r="B89" s="46">
        <f t="shared" si="52"/>
        <v>0.07493891156462586</v>
      </c>
      <c r="C89" s="47" t="s">
        <v>96</v>
      </c>
      <c r="D89" s="31">
        <f t="shared" si="53"/>
        <v>28.49477173333333</v>
      </c>
      <c r="E89" s="61"/>
      <c r="F89" s="55"/>
      <c r="G89" s="56"/>
      <c r="H89" s="32"/>
      <c r="I89" s="33"/>
      <c r="J89" s="50"/>
      <c r="K89" s="65"/>
      <c r="M89">
        <f t="shared" si="51"/>
        <v>23</v>
      </c>
      <c r="N89" s="10">
        <f t="shared" si="54"/>
        <v>0.0763</v>
      </c>
      <c r="P89" s="10">
        <f t="shared" si="55"/>
        <v>0.0641</v>
      </c>
    </row>
    <row r="90" spans="1:16" ht="15.75">
      <c r="A90" s="42" t="s">
        <v>99</v>
      </c>
      <c r="B90" s="46">
        <f t="shared" si="52"/>
        <v>0.15136721088435376</v>
      </c>
      <c r="C90" s="47" t="s">
        <v>96</v>
      </c>
      <c r="D90" s="31">
        <f t="shared" si="53"/>
        <v>57.555868266666664</v>
      </c>
      <c r="E90" s="61"/>
      <c r="F90" s="55"/>
      <c r="G90" s="56"/>
      <c r="H90" s="32"/>
      <c r="I90" s="33"/>
      <c r="J90" s="50"/>
      <c r="K90" s="65"/>
      <c r="M90">
        <f t="shared" si="51"/>
        <v>24</v>
      </c>
      <c r="N90" s="10">
        <f t="shared" si="54"/>
        <v>0.1567</v>
      </c>
      <c r="P90" s="10">
        <f t="shared" si="55"/>
        <v>0.1089</v>
      </c>
    </row>
    <row r="91" spans="1:16" ht="15.75">
      <c r="A91" s="42" t="s">
        <v>100</v>
      </c>
      <c r="B91" s="46">
        <f t="shared" si="52"/>
        <v>0.13468585034013605</v>
      </c>
      <c r="C91" s="47" t="s">
        <v>96</v>
      </c>
      <c r="D91" s="31">
        <f t="shared" si="53"/>
        <v>51.21294773333332</v>
      </c>
      <c r="E91" s="61"/>
      <c r="F91" s="55"/>
      <c r="G91" s="56"/>
      <c r="H91" s="32"/>
      <c r="I91" s="33"/>
      <c r="J91" s="50"/>
      <c r="K91" s="65"/>
      <c r="M91">
        <f t="shared" si="51"/>
        <v>25</v>
      </c>
      <c r="N91" s="10">
        <f t="shared" si="54"/>
        <v>0.1409</v>
      </c>
      <c r="P91" s="10">
        <f t="shared" si="55"/>
        <v>0.0852</v>
      </c>
    </row>
    <row r="92" spans="1:16" ht="15.75">
      <c r="A92" s="42" t="s">
        <v>101</v>
      </c>
      <c r="B92" s="46">
        <f t="shared" si="52"/>
        <v>0.005485986394557824</v>
      </c>
      <c r="C92" s="47" t="s">
        <v>96</v>
      </c>
      <c r="D92" s="31">
        <f t="shared" si="53"/>
        <v>2.0859914666666666</v>
      </c>
      <c r="E92" s="60"/>
      <c r="F92" s="33"/>
      <c r="G92" s="50"/>
      <c r="H92" s="32"/>
      <c r="I92" s="33"/>
      <c r="J92" s="50"/>
      <c r="K92" s="65"/>
      <c r="M92">
        <f t="shared" si="51"/>
        <v>26</v>
      </c>
      <c r="N92" s="10">
        <f t="shared" si="54"/>
        <v>0.0062</v>
      </c>
      <c r="P92" s="10">
        <f t="shared" si="55"/>
        <v>-0.0002</v>
      </c>
    </row>
    <row r="93" spans="1:16" ht="12.75">
      <c r="A93" s="93"/>
      <c r="B93" s="94"/>
      <c r="C93" s="95"/>
      <c r="D93" s="96"/>
      <c r="E93" s="61"/>
      <c r="F93" s="55"/>
      <c r="G93" s="56"/>
      <c r="H93" s="97"/>
      <c r="I93" s="55"/>
      <c r="J93" s="98"/>
      <c r="K93" s="99"/>
      <c r="M93">
        <f t="shared" si="51"/>
        <v>27</v>
      </c>
      <c r="N93" s="10"/>
      <c r="P93" s="10"/>
    </row>
    <row r="94" spans="1:16" ht="15.75">
      <c r="A94" s="93" t="s">
        <v>102</v>
      </c>
      <c r="B94" s="46">
        <f>N94+(P94-N94)/(P$66-N$66)*(B$60-N$66)</f>
        <v>0.2333538775510204</v>
      </c>
      <c r="C94" s="95" t="s">
        <v>103</v>
      </c>
      <c r="D94" s="31">
        <f>B94*B$19*B$59</f>
        <v>84.04239899999999</v>
      </c>
      <c r="E94" s="61"/>
      <c r="F94" s="55"/>
      <c r="G94" s="56"/>
      <c r="H94" s="97"/>
      <c r="I94" s="55"/>
      <c r="J94" s="98"/>
      <c r="K94" s="99"/>
      <c r="M94">
        <f t="shared" si="51"/>
        <v>28</v>
      </c>
      <c r="N94" s="10">
        <f>HLOOKUP(N$66,P1_1.102a,$M94)</f>
        <v>0.2283</v>
      </c>
      <c r="P94" s="10">
        <f>HLOOKUP(P$66,P1_1.102a,$M94)</f>
        <v>0.2736</v>
      </c>
    </row>
    <row r="95" spans="1:16" ht="15.75">
      <c r="A95" s="93" t="s">
        <v>104</v>
      </c>
      <c r="B95" s="46">
        <f>N95+(P95-N95)/(P$66-N$66)*(B$60-N$66)</f>
        <v>0.25905142857142854</v>
      </c>
      <c r="C95" s="95" t="s">
        <v>103</v>
      </c>
      <c r="D95" s="31">
        <f>B95*B$19*B$59</f>
        <v>93.29737199999997</v>
      </c>
      <c r="E95" s="61"/>
      <c r="F95" s="55"/>
      <c r="G95" s="56"/>
      <c r="H95" s="97"/>
      <c r="I95" s="55"/>
      <c r="J95" s="98"/>
      <c r="K95" s="99"/>
      <c r="M95">
        <f t="shared" si="51"/>
        <v>29</v>
      </c>
      <c r="N95" s="10">
        <f>HLOOKUP(N$66,P1_1.102a,$M95)</f>
        <v>0.2546</v>
      </c>
      <c r="P95" s="10">
        <f>HLOOKUP(P$66,P1_1.102a,$M95)</f>
        <v>0.2945</v>
      </c>
    </row>
    <row r="96" spans="1:16" ht="16.5" thickBot="1">
      <c r="A96" s="43" t="s">
        <v>105</v>
      </c>
      <c r="B96" s="48">
        <f>N96+(P96-N96)/(P$66-N$66)*(B$60-N$66)</f>
        <v>0.26673945578231295</v>
      </c>
      <c r="C96" s="49" t="s">
        <v>103</v>
      </c>
      <c r="D96" s="35">
        <f>B96*B$19*B$59</f>
        <v>96.06621499999999</v>
      </c>
      <c r="E96" s="62"/>
      <c r="F96" s="37"/>
      <c r="G96" s="51"/>
      <c r="H96" s="36"/>
      <c r="I96" s="37"/>
      <c r="J96" s="51"/>
      <c r="K96" s="66"/>
      <c r="M96">
        <f t="shared" si="51"/>
        <v>30</v>
      </c>
      <c r="N96" s="10">
        <f>HLOOKUP(N$66,P1_1.102a,$M96)</f>
        <v>0.2625</v>
      </c>
      <c r="P96" s="10">
        <f>HLOOKUP(P$66,P1_1.102a,$M96)</f>
        <v>0.3005</v>
      </c>
    </row>
    <row r="97" spans="5:16" ht="12.75">
      <c r="E97"/>
      <c r="M97" s="18"/>
      <c r="N97" s="19"/>
      <c r="O97" s="18"/>
      <c r="P97" s="19"/>
    </row>
    <row r="98" spans="5:16" ht="12.75">
      <c r="E98"/>
      <c r="M98" s="18"/>
      <c r="N98" s="19"/>
      <c r="O98" s="18"/>
      <c r="P98" s="19"/>
    </row>
    <row r="99" spans="5:16" ht="12.75">
      <c r="E99"/>
      <c r="M99" s="18"/>
      <c r="N99" s="19"/>
      <c r="O99" s="18"/>
      <c r="P99" s="19"/>
    </row>
    <row r="100" spans="5:16" ht="12.75">
      <c r="E100"/>
      <c r="M100" s="18"/>
      <c r="N100" s="19"/>
      <c r="O100" s="18"/>
      <c r="P100" s="19"/>
    </row>
    <row r="102" ht="12.75">
      <c r="A102" s="23" t="s">
        <v>107</v>
      </c>
    </row>
    <row r="103" ht="12.75">
      <c r="A103" t="s">
        <v>108</v>
      </c>
    </row>
    <row r="106" ht="12.75">
      <c r="A106" s="3" t="s">
        <v>109</v>
      </c>
    </row>
    <row r="107" ht="12.75">
      <c r="G107" s="4"/>
    </row>
    <row r="108" ht="12.75">
      <c r="G108" s="4"/>
    </row>
    <row r="109" spans="7:9" ht="14.25">
      <c r="G109" s="4" t="s">
        <v>110</v>
      </c>
      <c r="H109" s="1">
        <f>$B$19</f>
        <v>48.99999999999999</v>
      </c>
      <c r="I109" t="s">
        <v>60</v>
      </c>
    </row>
    <row r="110" ht="12.75"/>
    <row r="111" ht="12.75"/>
    <row r="112" ht="12.75"/>
    <row r="113" ht="12.75"/>
    <row r="114" ht="12.75"/>
    <row r="115" spans="4:6" ht="12.75">
      <c r="D115" s="4"/>
      <c r="F115" s="4"/>
    </row>
    <row r="116" spans="4:9" ht="12.75">
      <c r="D116" s="4"/>
      <c r="F116" s="4"/>
      <c r="I116" s="75"/>
    </row>
    <row r="117" spans="7:8" ht="13.5" thickBot="1">
      <c r="G117" s="4"/>
      <c r="H117" s="100"/>
    </row>
    <row r="118" spans="5:10" ht="13.5" thickBot="1">
      <c r="E118" s="57" t="s">
        <v>64</v>
      </c>
      <c r="F118" s="58"/>
      <c r="G118" s="59"/>
      <c r="H118" s="57" t="s">
        <v>65</v>
      </c>
      <c r="I118" s="58"/>
      <c r="J118" s="59"/>
    </row>
    <row r="119" spans="1:21" s="112" customFormat="1" ht="26.25" thickBot="1">
      <c r="A119" s="71" t="s">
        <v>111</v>
      </c>
      <c r="B119" s="67" t="s">
        <v>112</v>
      </c>
      <c r="C119" s="74" t="s">
        <v>113</v>
      </c>
      <c r="D119" s="119" t="s">
        <v>114</v>
      </c>
      <c r="E119" s="71" t="s">
        <v>67</v>
      </c>
      <c r="F119" s="72" t="s">
        <v>68</v>
      </c>
      <c r="G119" s="73" t="s">
        <v>69</v>
      </c>
      <c r="H119" s="74" t="s">
        <v>67</v>
      </c>
      <c r="I119" s="72" t="s">
        <v>68</v>
      </c>
      <c r="J119" s="72" t="s">
        <v>69</v>
      </c>
      <c r="K119" s="120" t="s">
        <v>70</v>
      </c>
      <c r="S119" s="74" t="s">
        <v>73</v>
      </c>
      <c r="T119" s="113"/>
      <c r="U119" s="78" t="s">
        <v>75</v>
      </c>
    </row>
    <row r="120" spans="1:21" ht="12.75">
      <c r="A120" s="114">
        <v>26</v>
      </c>
      <c r="B120" s="31">
        <f>$D39</f>
        <v>-97.33233824999998</v>
      </c>
      <c r="C120" s="31">
        <f>$D50</f>
        <v>105.01214499999998</v>
      </c>
      <c r="D120" s="115">
        <f>2*SQRT(ABS(B120/$H$109))</f>
        <v>2.8187757981081076</v>
      </c>
      <c r="E120" s="60">
        <f>(ABS($B120))/1000/$J$8/(($J$7-$J$9)*(1-(1.5/3*(1-SQRT(1-8/3*ABS($B120/1000/($J$7-$J$9)^2/$D$10))))))*10000</f>
        <v>16.068912871924013</v>
      </c>
      <c r="F120" s="33">
        <f>ABS($B120*6/$J$5^2)</f>
        <v>3649.962684374999</v>
      </c>
      <c r="G120" s="104">
        <f>ABS(B120/($J$7^2/6+1.33*E120*10^-4*($J$7/2-$J$9)^2*14*2/$J$7))</f>
        <v>2557.438498908345</v>
      </c>
      <c r="H120" s="32">
        <f>(ABS($S120))/1000/$J$8/(($J$7-$J$9)*(1-(1.5/3*(1-SQRT(1-8/3*ABS($S120/1000/($J$7-$J$9)^2/$D$10))))))*10000+$C120/$J$8*10</f>
        <v>19.75317154476389</v>
      </c>
      <c r="I120" s="33">
        <f>ABS($B120*6/$J$5^2)+C120/$J$5</f>
        <v>3912.493046874999</v>
      </c>
      <c r="J120" s="33">
        <f>ABS(B120/($J$7^2/6+1.33*H120*10^-4*($J$7/2-$J$9)^2*14*2/$J$7))+C120/($J$7+1.33*H120*10^-4*14)</f>
        <v>2708.464607605275</v>
      </c>
      <c r="K120" s="64">
        <f>1.1*U120*(0.06*$D$9+0.6)*1000</f>
        <v>4400</v>
      </c>
      <c r="S120" s="1">
        <f>C120*(ABS(B120)/C120-$J$7/2+$J$9)</f>
        <v>78.43015214999998</v>
      </c>
      <c r="T120" s="1"/>
      <c r="U120" s="6">
        <f>IF(C120&gt;0,IF(ABS(B120)/C120&lt;$J$5/2,1+(2*ABS(B120)/C120)/(3*$J$5),5/3),5/3)</f>
        <v>1.6666666666666667</v>
      </c>
    </row>
    <row r="121" spans="1:21" ht="12.75">
      <c r="A121" s="114">
        <v>27</v>
      </c>
      <c r="B121" s="31">
        <f>$D40</f>
        <v>-110.44900124999998</v>
      </c>
      <c r="C121" s="31">
        <f>$D51</f>
        <v>111.51689499999999</v>
      </c>
      <c r="D121" s="115">
        <f>2*SQRT(ABS(B121/$H$109))</f>
        <v>3.0027062793420205</v>
      </c>
      <c r="E121" s="60">
        <f>(ABS($B121))/1000/$J$8/(($J$7-$J$9)*(1-(1.5/3*(1-SQRT(1-8/3*ABS($B121/1000/($J$7-$J$9)^2/$D$10))))))*10000</f>
        <v>18.2926091748868</v>
      </c>
      <c r="F121" s="33">
        <f>ABS($B121*6/$J$5^2)</f>
        <v>4141.837546874998</v>
      </c>
      <c r="G121" s="104">
        <f>ABS(B121/($J$7^2/6+1.33*E121*10^-4*($J$7/2-$J$9)^2*14*2/$J$7))</f>
        <v>2857.319492170609</v>
      </c>
      <c r="H121" s="32">
        <f>(ABS($S121))/1000/$J$8/(($J$7-$J$9)*(1-(1.5/3*(1-SQRT(1-8/3*ABS($S121/1000/($J$7-$J$9)^2/$D$10))))))*10000+$C121/$J$8*10</f>
        <v>22.18412846047516</v>
      </c>
      <c r="I121" s="33">
        <f>ABS($B121*6/$J$5^2)+C121/$J$5</f>
        <v>4420.629784374998</v>
      </c>
      <c r="J121" s="33">
        <f>ABS(B121/($J$7^2/6+1.33*H121*10^-4*($J$7/2-$J$9)^2*14*2/$J$7))+C121/($J$7+1.33*H121*10^-4*14)</f>
        <v>3009.197974922293</v>
      </c>
      <c r="K121" s="64">
        <f>1.1*U121*(0.06*$D$9+0.6)*1000</f>
        <v>4400</v>
      </c>
      <c r="S121" s="1">
        <f>C121*(ABS(B121)/C121-$J$7/2+$J$9)</f>
        <v>90.37596014999998</v>
      </c>
      <c r="U121" s="6">
        <f>IF(C121&gt;0,IF(ABS(B121)/C121&lt;$J$5/2,1+(2*ABS(B121)/C121)/(3*$J$5),5/3),5/3)</f>
        <v>1.6666666666666667</v>
      </c>
    </row>
    <row r="122" spans="1:21" ht="13.5" thickBot="1">
      <c r="A122" s="116">
        <v>28</v>
      </c>
      <c r="B122" s="35">
        <f>$D41</f>
        <v>-114.68436524999998</v>
      </c>
      <c r="C122" s="35">
        <f>$D52</f>
        <v>113.38942999999999</v>
      </c>
      <c r="D122" s="117">
        <f>2*SQRT(ABS(B122/$H$109))</f>
        <v>3.059736753382552</v>
      </c>
      <c r="E122" s="62">
        <f>(ABS($B122))/1000/$J$8/(($J$7-$J$9)*(1-(1.5/3*(1-SQRT(1-8/3*ABS($B122/1000/($J$7-$J$9)^2/$D$10))))))*10000</f>
        <v>19.01376109449026</v>
      </c>
      <c r="F122" s="37">
        <f>ABS($B122*6/$J$5^2)</f>
        <v>4300.663696874999</v>
      </c>
      <c r="G122" s="118">
        <f>ABS(B122/($J$7^2/6+1.33*E122*10^-4*($J$7/2-$J$9)^2*14*2/$J$7))</f>
        <v>2952.1212385265203</v>
      </c>
      <c r="H122" s="36">
        <f>(ABS($S122))/1000/$J$8/(($J$7-$J$9)*(1-(1.5/3*(1-SQRT(1-8/3*ABS($S122/1000/($J$7-$J$9)^2/$D$10))))))*10000+$C122/$J$8*10</f>
        <v>22.963625050901776</v>
      </c>
      <c r="I122" s="37">
        <f>ABS($B122*6/$J$5^2)+C122/$J$5</f>
        <v>4584.137271874999</v>
      </c>
      <c r="J122" s="37">
        <f>ABS(B122/($J$7^2/6+1.33*H122*10^-4*($J$7/2-$J$9)^2*14*2/$J$7))+C122/($J$7+1.33*H122*10^-4*14)</f>
        <v>3103.888623889416</v>
      </c>
      <c r="K122" s="121">
        <f>1.1*U122*(0.06*$D$9+0.6)*1000</f>
        <v>4400</v>
      </c>
      <c r="S122" s="1">
        <f>C122*(ABS(B122)/C122-$J$7/2+$J$9)</f>
        <v>94.27426785</v>
      </c>
      <c r="U122" s="6">
        <f>IF(C122&gt;0,IF(ABS(B122)/C122&lt;$J$5/2,1+(2*ABS(B122)/C122)/(3*$J$5),5/3),5/3)</f>
        <v>1.6666666666666667</v>
      </c>
    </row>
    <row r="123" spans="7:8" ht="12.75">
      <c r="G123" s="4"/>
      <c r="H123" s="100"/>
    </row>
    <row r="124" spans="7:8" ht="12.75">
      <c r="G124" s="4"/>
      <c r="H124" s="100"/>
    </row>
    <row r="125" spans="7:8" ht="12.75">
      <c r="G125" s="4"/>
      <c r="H125" s="100"/>
    </row>
    <row r="126" spans="7:8" ht="12.75">
      <c r="G126" s="4"/>
      <c r="H126" s="100"/>
    </row>
    <row r="128" ht="12.75">
      <c r="A128" s="3" t="s">
        <v>115</v>
      </c>
    </row>
    <row r="131" ht="13.5" thickBot="1"/>
    <row r="132" spans="5:10" ht="13.5" thickBot="1">
      <c r="E132" s="57" t="s">
        <v>64</v>
      </c>
      <c r="F132" s="58"/>
      <c r="G132" s="59"/>
      <c r="H132" s="57" t="s">
        <v>65</v>
      </c>
      <c r="I132" s="58"/>
      <c r="J132" s="59"/>
    </row>
    <row r="133" spans="1:21" s="112" customFormat="1" ht="26.25" thickBot="1">
      <c r="A133" s="71" t="s">
        <v>111</v>
      </c>
      <c r="B133" s="67" t="s">
        <v>112</v>
      </c>
      <c r="C133" s="74" t="s">
        <v>113</v>
      </c>
      <c r="D133" s="119" t="s">
        <v>114</v>
      </c>
      <c r="E133" s="71" t="s">
        <v>67</v>
      </c>
      <c r="F133" s="72" t="s">
        <v>68</v>
      </c>
      <c r="G133" s="73" t="s">
        <v>69</v>
      </c>
      <c r="H133" s="74" t="s">
        <v>67</v>
      </c>
      <c r="I133" s="72" t="s">
        <v>68</v>
      </c>
      <c r="J133" s="72" t="s">
        <v>69</v>
      </c>
      <c r="K133" s="120" t="s">
        <v>70</v>
      </c>
      <c r="S133" s="74" t="s">
        <v>73</v>
      </c>
      <c r="T133" s="113"/>
      <c r="U133" s="78" t="s">
        <v>75</v>
      </c>
    </row>
    <row r="134" spans="1:21" ht="12.75">
      <c r="A134" s="122">
        <v>26</v>
      </c>
      <c r="B134" s="123">
        <f>D83</f>
        <v>-52.83796664999999</v>
      </c>
      <c r="C134" s="123">
        <f>D94</f>
        <v>84.04239899999999</v>
      </c>
      <c r="D134" s="124">
        <f>2*SQRT(ABS(B134/$H$109))</f>
        <v>2.076849392710025</v>
      </c>
      <c r="E134" s="60">
        <f>(ABS($B134))/1000/$J$8/(($J$7-$J$9)*(1-(1.5/3*(1-SQRT(1-8/3*ABS($B134/1000/($J$7-$J$9)^2/$D$10))))))*10000</f>
        <v>8.631304212967574</v>
      </c>
      <c r="F134" s="33">
        <f>ABS($B134*6/$J$5^2)</f>
        <v>1981.4237493749993</v>
      </c>
      <c r="G134" s="104">
        <f>ABS(B134/($J$7^2/6+1.33*E134*10^-4*($J$7/2-$J$9)^2*14*2/$J$7))</f>
        <v>1465.1046865828973</v>
      </c>
      <c r="H134" s="32">
        <f>(ABS($S134))/1000/$J$8/(($J$7-$J$9)*(1-(1.5/3*(1-SQRT(1-8/3*ABS($S134/1000/($J$7-$J$9)^2/$D$10))))))*10000+$C134/$J$8*10</f>
        <v>11.631436948150839</v>
      </c>
      <c r="I134" s="33">
        <f>ABS($B134*6/$J$5^2)+C134/$J$5</f>
        <v>2191.529746874999</v>
      </c>
      <c r="J134" s="33">
        <f>ABS(B134/($J$7^2/6+1.33*H134*10^-4*($J$7/2-$J$9)^2*14*2/$J$7))+C134/($J$7+1.33*H134*10^-4*14)</f>
        <v>1611.3234562762934</v>
      </c>
      <c r="K134" s="64">
        <f>1.1*U134*(0.06*$D$9+0.6)*1000</f>
        <v>4400</v>
      </c>
      <c r="S134" s="1">
        <f>C134*(ABS(B134)/C134-$J$7/2+$J$9)</f>
        <v>37.710334829999994</v>
      </c>
      <c r="T134" s="1"/>
      <c r="U134" s="6">
        <f>IF(C134&gt;0,IF(ABS(B134)/C134&lt;$J$5/2,1+(2*ABS(B134)/C134)/(3*$J$5),5/3),5/3)</f>
        <v>1.6666666666666667</v>
      </c>
    </row>
    <row r="135" spans="1:21" ht="12.75">
      <c r="A135" s="114">
        <v>27</v>
      </c>
      <c r="B135" s="31">
        <f>D84</f>
        <v>-64.92604124999998</v>
      </c>
      <c r="C135" s="31">
        <f>D95</f>
        <v>93.29737199999997</v>
      </c>
      <c r="D135" s="125">
        <f>2*SQRT(ABS(B135/$H$109))</f>
        <v>2.302191347390568</v>
      </c>
      <c r="E135" s="60">
        <f>(ABS($B135))/1000/$J$8/(($J$7-$J$9)*(1-(1.5/3*(1-SQRT(1-8/3*ABS($B135/1000/($J$7-$J$9)^2/$D$10))))))*10000</f>
        <v>10.63614248507506</v>
      </c>
      <c r="F135" s="33">
        <f>ABS($B135*6/$J$5^2)</f>
        <v>2434.7265468749993</v>
      </c>
      <c r="G135" s="104">
        <f>ABS(B135/($J$7^2/6+1.33*E135*10^-4*($J$7/2-$J$9)^2*14*2/$J$7))</f>
        <v>1773.8460073881974</v>
      </c>
      <c r="H135" s="32">
        <f>(ABS($S135))/1000/$J$8/(($J$7-$J$9)*(1-(1.5/3*(1-SQRT(1-8/3*ABS($S135/1000/($J$7-$J$9)^2/$D$10))))))*10000+$C135/$J$8*10</f>
        <v>13.951869922754277</v>
      </c>
      <c r="I135" s="33">
        <f>ABS($B135*6/$J$5^2)+C135/$J$5</f>
        <v>2667.9699768749992</v>
      </c>
      <c r="J135" s="33">
        <f>ABS(B135/($J$7^2/6+1.33*H135*10^-4*($J$7/2-$J$9)^2*14*2/$J$7))+C135/($J$7+1.33*H135*10^-4*14)</f>
        <v>1927.7937315911029</v>
      </c>
      <c r="K135" s="64">
        <f>1.1*U135*(0.06*$D$9+0.6)*1000</f>
        <v>4400</v>
      </c>
      <c r="S135" s="1">
        <f>C135*(ABS(B135)/C135-$J$7/2+$J$9)</f>
        <v>48.132514289999996</v>
      </c>
      <c r="U135" s="6">
        <f>IF(C135&gt;0,IF(ABS(B135)/C135&lt;$J$5/2,1+(2*ABS(B135)/C135)/(3*$J$5),5/3),5/3)</f>
        <v>1.6666666666666667</v>
      </c>
    </row>
    <row r="136" spans="1:21" ht="13.5" thickBot="1">
      <c r="A136" s="116">
        <v>28</v>
      </c>
      <c r="B136" s="35">
        <f>D85</f>
        <v>-65.86891394999998</v>
      </c>
      <c r="C136" s="35">
        <f>D96</f>
        <v>96.06621499999999</v>
      </c>
      <c r="D136" s="126">
        <f>2*SQRT(ABS(B136/$H$109))</f>
        <v>2.31884760171944</v>
      </c>
      <c r="E136" s="62">
        <f>(ABS($B136))/1000/$J$8/(($J$7-$J$9)*(1-(1.5/3*(1-SQRT(1-8/3*ABS($B136/1000/($J$7-$J$9)^2/$D$10))))))*10000</f>
        <v>10.793007949418065</v>
      </c>
      <c r="F136" s="37">
        <f>ABS($B136*6/$J$5^2)</f>
        <v>2470.0842731249986</v>
      </c>
      <c r="G136" s="118">
        <f>ABS(B136/($J$7^2/6+1.33*E136*10^-4*($J$7/2-$J$9)^2*14*2/$J$7))</f>
        <v>1797.5406609271215</v>
      </c>
      <c r="H136" s="36">
        <f>(ABS($S136))/1000/$J$8/(($J$7-$J$9)*(1-(1.5/3*(1-SQRT(1-8/3*ABS($S136/1000/($J$7-$J$9)^2/$D$10))))))*10000+$C136/$J$8*10</f>
        <v>14.20619067252824</v>
      </c>
      <c r="I136" s="37">
        <f>ABS($B136*6/$J$5^2)+C136/$J$5</f>
        <v>2710.2498106249986</v>
      </c>
      <c r="J136" s="37">
        <f>ABS(B136/($J$7^2/6+1.33*H136*10^-4*($J$7/2-$J$9)^2*14*2/$J$7))+C136/($J$7+1.33*H136*10^-4*14)</f>
        <v>1955.3698760481022</v>
      </c>
      <c r="K136" s="121">
        <f>1.1*U136*(0.06*$D$9+0.6)*1000</f>
        <v>4400</v>
      </c>
      <c r="S136" s="1">
        <f>C136*(ABS(B136)/C136-$J$7/2+$J$9)</f>
        <v>48.57699524999999</v>
      </c>
      <c r="U136" s="6">
        <f>IF(C136&gt;0,IF(ABS(B136)/C136&lt;$J$5/2,1+(2*ABS(B136)/C136)/(3*$J$5),5/3),5/3)</f>
        <v>1.6666666666666667</v>
      </c>
    </row>
  </sheetData>
  <sheetProtection sheet="1" objects="1" scenarios="1"/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4"/>
  <headerFooter alignWithMargins="0">
    <oddHeader>&amp;LEUROCONCEPT INGENIERIE&amp;C&amp;F,  &amp;A&amp;R&amp;D</oddHeader>
    <oddFooter>&amp;LSATION E.P. ROISSY - LOT 30K&amp;RPage   &amp;P</oddFooter>
  </headerFooter>
  <rowBreaks count="2" manualBreakCount="2">
    <brk id="53" max="65535" man="1"/>
    <brk id="104" max="65535" man="1"/>
  </rowBreaks>
  <colBreaks count="1" manualBreakCount="1">
    <brk id="11" max="65535" man="1"/>
  </colBreaks>
  <drawing r:id="rId3"/>
  <legacyDrawing r:id="rId2"/>
  <oleObjects>
    <oleObject progId="Equation.2" shapeId="5235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U136"/>
  <sheetViews>
    <sheetView workbookViewId="0" topLeftCell="A1">
      <selection activeCell="D5" sqref="D5"/>
    </sheetView>
  </sheetViews>
  <sheetFormatPr defaultColWidth="7.7109375" defaultRowHeight="12.75"/>
  <cols>
    <col min="1" max="1" width="11.421875" customWidth="1"/>
    <col min="2" max="3" width="7.7109375" style="0" customWidth="1"/>
    <col min="4" max="4" width="11.421875" customWidth="1"/>
    <col min="5" max="5" width="7.7109375" style="4" customWidth="1"/>
    <col min="6" max="16384" width="11.421875" customWidth="1"/>
  </cols>
  <sheetData>
    <row r="1" spans="1:11" ht="18">
      <c r="A1" s="30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4:15" ht="13.5" thickBot="1">
      <c r="N2" s="53"/>
      <c r="O2" s="53"/>
    </row>
    <row r="3" spans="1:15" ht="17.25" thickBot="1" thickTop="1">
      <c r="A3" s="24" t="s">
        <v>116</v>
      </c>
      <c r="B3" s="17"/>
      <c r="C3" s="26"/>
      <c r="D3" s="25"/>
      <c r="E3" s="25"/>
      <c r="F3" s="26"/>
      <c r="G3" s="26"/>
      <c r="H3" s="26"/>
      <c r="I3" s="26"/>
      <c r="J3" s="29"/>
      <c r="K3" s="29"/>
      <c r="N3" s="53"/>
      <c r="O3" s="53"/>
    </row>
    <row r="4" spans="14:15" ht="12" customHeight="1" thickTop="1">
      <c r="N4" s="53"/>
      <c r="O4" s="53"/>
    </row>
    <row r="5" spans="1:11" ht="12.75">
      <c r="A5" t="s">
        <v>36</v>
      </c>
      <c r="D5" s="133">
        <v>13.7</v>
      </c>
      <c r="E5" t="s">
        <v>37</v>
      </c>
      <c r="F5" t="s">
        <v>38</v>
      </c>
      <c r="J5" s="133">
        <v>0.45</v>
      </c>
      <c r="K5" t="s">
        <v>37</v>
      </c>
    </row>
    <row r="6" spans="1:11" ht="12.75">
      <c r="A6" t="s">
        <v>39</v>
      </c>
      <c r="D6" s="133">
        <v>8</v>
      </c>
      <c r="E6" t="s">
        <v>37</v>
      </c>
      <c r="F6" t="s">
        <v>40</v>
      </c>
      <c r="J6" s="133">
        <v>0.4</v>
      </c>
      <c r="K6" t="s">
        <v>37</v>
      </c>
    </row>
    <row r="7" spans="1:11" ht="12.75">
      <c r="A7" t="s">
        <v>41</v>
      </c>
      <c r="D7" s="133">
        <v>6.95</v>
      </c>
      <c r="E7" t="s">
        <v>37</v>
      </c>
      <c r="F7" t="s">
        <v>42</v>
      </c>
      <c r="J7" s="133">
        <v>0.45</v>
      </c>
      <c r="K7" t="s">
        <v>37</v>
      </c>
    </row>
    <row r="8" spans="1:15" ht="14.25">
      <c r="A8" t="s">
        <v>43</v>
      </c>
      <c r="D8" s="134">
        <v>8.35</v>
      </c>
      <c r="E8" t="s">
        <v>44</v>
      </c>
      <c r="F8" t="s">
        <v>45</v>
      </c>
      <c r="J8" s="132">
        <v>153</v>
      </c>
      <c r="K8" t="s">
        <v>46</v>
      </c>
      <c r="N8" s="53"/>
      <c r="O8" s="53"/>
    </row>
    <row r="9" spans="1:15" ht="12.75">
      <c r="A9" t="s">
        <v>47</v>
      </c>
      <c r="D9" s="130">
        <v>30</v>
      </c>
      <c r="E9" t="s">
        <v>46</v>
      </c>
      <c r="F9" t="s">
        <v>48</v>
      </c>
      <c r="J9" s="133">
        <v>0.045</v>
      </c>
      <c r="K9" t="s">
        <v>37</v>
      </c>
      <c r="N9" s="53"/>
      <c r="O9" s="53"/>
    </row>
    <row r="10" spans="1:12" ht="15.75">
      <c r="A10" t="s">
        <v>49</v>
      </c>
      <c r="D10" s="103">
        <f>0.6*D9</f>
        <v>18</v>
      </c>
      <c r="E10" t="s">
        <v>46</v>
      </c>
      <c r="F10" s="27" t="s">
        <v>50</v>
      </c>
      <c r="J10" s="28">
        <f>$D$10*($J$5-$J$9)^2*0.5*$D$10/($D$10+$J$8/15)*(1-$D$10/($D$10+$J$8/15)/3)*1000</f>
        <v>741.7880262562246</v>
      </c>
      <c r="K10" s="27" t="s">
        <v>51</v>
      </c>
      <c r="L10" s="27"/>
    </row>
    <row r="11" spans="6:11" ht="15.75">
      <c r="F11" s="27" t="s">
        <v>52</v>
      </c>
      <c r="J11" s="28">
        <f>$D$10*($J$6-$J$9)^2*0.5*$D$10/($D$10+$J$8/15)*(1-$D$10/($D$10+$J$8/15)/3)*1000</f>
        <v>569.9365097329111</v>
      </c>
      <c r="K11" s="27" t="s">
        <v>51</v>
      </c>
    </row>
    <row r="12" spans="1:5" ht="12.75">
      <c r="A12" s="3" t="s">
        <v>53</v>
      </c>
      <c r="D12" t="s">
        <v>117</v>
      </c>
      <c r="E12"/>
    </row>
    <row r="13" spans="1:5" ht="12.75">
      <c r="A13" s="3"/>
      <c r="E13"/>
    </row>
    <row r="14" spans="1:5" ht="12.75">
      <c r="A14" s="3"/>
      <c r="D14" s="10"/>
      <c r="E14"/>
    </row>
    <row r="15" spans="1:5" ht="12.75">
      <c r="A15" s="4" t="s">
        <v>55</v>
      </c>
      <c r="B15" s="6">
        <f>D$5</f>
        <v>13.7</v>
      </c>
      <c r="C15" t="s">
        <v>37</v>
      </c>
      <c r="E15"/>
    </row>
    <row r="16" spans="1:5" ht="12.75">
      <c r="A16" s="4" t="s">
        <v>56</v>
      </c>
      <c r="B16" s="6">
        <f>D$7</f>
        <v>6.95</v>
      </c>
      <c r="C16" t="s">
        <v>37</v>
      </c>
      <c r="E16"/>
    </row>
    <row r="17" spans="1:12" ht="12.75">
      <c r="A17" s="5" t="s">
        <v>57</v>
      </c>
      <c r="B17" s="6">
        <f>B15/B16</f>
        <v>1.9712230215827338</v>
      </c>
      <c r="I17" s="12"/>
      <c r="J17" s="12"/>
      <c r="K17" s="12"/>
      <c r="L17" s="12"/>
    </row>
    <row r="18" spans="1:5" ht="12.75">
      <c r="A18" s="5" t="s">
        <v>58</v>
      </c>
      <c r="B18" s="6">
        <f>B16/B15</f>
        <v>0.5072992700729927</v>
      </c>
      <c r="E18"/>
    </row>
    <row r="19" spans="1:5" ht="14.25">
      <c r="A19" s="4" t="s">
        <v>59</v>
      </c>
      <c r="B19" s="1">
        <f>D$8*D$7</f>
        <v>58.0325</v>
      </c>
      <c r="C19" t="s">
        <v>60</v>
      </c>
      <c r="E19"/>
    </row>
    <row r="20" spans="1:5" ht="12.75">
      <c r="A20" s="4"/>
      <c r="E20"/>
    </row>
    <row r="21" spans="5:16" ht="13.5" thickBot="1">
      <c r="E21"/>
      <c r="M21" s="18" t="s">
        <v>61</v>
      </c>
      <c r="N21" s="19" t="s">
        <v>62</v>
      </c>
      <c r="O21" s="18" t="s">
        <v>61</v>
      </c>
      <c r="P21" s="19" t="s">
        <v>63</v>
      </c>
    </row>
    <row r="22" spans="5:16" ht="13.5" thickBot="1">
      <c r="E22" s="57" t="s">
        <v>64</v>
      </c>
      <c r="F22" s="58"/>
      <c r="G22" s="59"/>
      <c r="H22" s="57" t="s">
        <v>65</v>
      </c>
      <c r="I22" s="58"/>
      <c r="J22" s="59"/>
      <c r="M22" s="54">
        <f>HLOOKUP($B$17,P1_1.96,'Barès 1.96'!K$36)</f>
        <v>6</v>
      </c>
      <c r="N22" s="21">
        <f>HLOOKUP($B$17,P1_1.96,1)</f>
        <v>1.5</v>
      </c>
      <c r="O22" s="22">
        <f>M22+1</f>
        <v>7</v>
      </c>
      <c r="P22" s="21">
        <f>HLOOKUP($O$22,P2_1.96,2)</f>
        <v>2</v>
      </c>
    </row>
    <row r="23" spans="1:21" s="77" customFormat="1" ht="26.25" thickBot="1">
      <c r="A23" s="68"/>
      <c r="B23" s="69"/>
      <c r="C23" s="70"/>
      <c r="D23" s="67" t="s">
        <v>66</v>
      </c>
      <c r="E23" s="71" t="s">
        <v>67</v>
      </c>
      <c r="F23" s="72" t="s">
        <v>68</v>
      </c>
      <c r="G23" s="73" t="s">
        <v>69</v>
      </c>
      <c r="H23" s="74" t="s">
        <v>67</v>
      </c>
      <c r="I23" s="72" t="s">
        <v>68</v>
      </c>
      <c r="J23" s="73" t="s">
        <v>69</v>
      </c>
      <c r="K23" s="73" t="s">
        <v>70</v>
      </c>
      <c r="L23" s="75"/>
      <c r="M23" s="76" t="s">
        <v>61</v>
      </c>
      <c r="N23" s="76" t="s">
        <v>71</v>
      </c>
      <c r="P23" s="76" t="s">
        <v>72</v>
      </c>
      <c r="S23" s="74" t="s">
        <v>73</v>
      </c>
      <c r="T23" s="74" t="s">
        <v>74</v>
      </c>
      <c r="U23" s="78" t="s">
        <v>75</v>
      </c>
    </row>
    <row r="24" spans="1:21" ht="15.75">
      <c r="A24" s="42" t="s">
        <v>76</v>
      </c>
      <c r="B24" s="46">
        <f aca="true" t="shared" si="0" ref="B24:B33">N24+(P24-N24)/(P$22-N$22)*(B$17-N$22)</f>
        <v>-0.016209352517985613</v>
      </c>
      <c r="C24" s="47" t="s">
        <v>77</v>
      </c>
      <c r="D24" s="31">
        <f aca="true" t="shared" si="1" ref="D24:D33">B24*B$19*B$15^2</f>
        <v>-176.55421153249998</v>
      </c>
      <c r="E24" s="60">
        <f aca="true" t="shared" si="2" ref="E24:E33">(ABS($D24))/1000/$J$8/(($J$5-$J$9)*(1-(1.5/3*(1-SQRT(1-8/3*ABS($D24/1000/($J$5-$J$9)^2/$D$10))))))*10000</f>
        <v>29.729198128231065</v>
      </c>
      <c r="F24" s="33">
        <f aca="true" t="shared" si="3" ref="F24:F33">ABS($D24*6/$J$5^2)</f>
        <v>5231.235897259258</v>
      </c>
      <c r="G24" s="104">
        <f aca="true" t="shared" si="4" ref="G24:G33">ABS($D24/($J$5^2/6+1.33*E24*10^-4*($J$5/2-$J$9)^2*14*2/$J$5))</f>
        <v>4231.759458880069</v>
      </c>
      <c r="H24" s="32">
        <f aca="true" t="shared" si="5" ref="H24:H33">(ABS($S24))/1000/$J$8/(($J$5-$J$9)*(1-(1.5/3*(1-SQRT(1-8/3*ABS($S24/1000/($J$5-$J$9)^2/$D$10))))))*10000+T24/J$8*10</f>
        <v>30.419485848249877</v>
      </c>
      <c r="I24" s="33">
        <f aca="true" t="shared" si="6" ref="I24:I33">ABS($D24*6/$J$5^2)+T24/$J$5</f>
        <v>5276.745995037036</v>
      </c>
      <c r="J24" s="104">
        <f aca="true" t="shared" si="7" ref="J24:J33">ABS($D24/($J$5^2/6+1.33*H24*10^-4*($J$5/2-$J$9)^2*14*2/$J$5))+T24/($J$5+1.33*H24*10^-4*14)</f>
        <v>4253.491458703457</v>
      </c>
      <c r="K24" s="63">
        <f aca="true" t="shared" si="8" ref="K24:K33">1.1*U24*(0.06*$D$9+0.6)*1000</f>
        <v>4400</v>
      </c>
      <c r="M24">
        <v>2</v>
      </c>
      <c r="N24" s="10">
        <f aca="true" t="shared" si="9" ref="N24:N39">HLOOKUP(N$22,P1_1.96,$M24)</f>
        <v>-0.018</v>
      </c>
      <c r="P24" s="10">
        <f aca="true" t="shared" si="10" ref="P24:P39">HLOOKUP(P$22,P1_1.96,$M24)</f>
        <v>-0.0161</v>
      </c>
      <c r="S24" s="1">
        <f aca="true" t="shared" si="11" ref="S24:S33">T24*(ABS(D24)/T24-J$5/2+J$9)</f>
        <v>172.86789361249998</v>
      </c>
      <c r="T24" s="1">
        <f>D87</f>
        <v>20.479543999999997</v>
      </c>
      <c r="U24" s="6">
        <f aca="true" t="shared" si="12" ref="U24:U33">IF(T24&gt;0,IF(ABS(D24)/T24&lt;$J$5/2,1+(2*ABS(D24)/T24)/(3*$J$5),5/3),5/3)</f>
        <v>1.6666666666666667</v>
      </c>
    </row>
    <row r="25" spans="1:21" ht="15.75">
      <c r="A25" s="42" t="s">
        <v>78</v>
      </c>
      <c r="B25" s="46">
        <f t="shared" si="0"/>
        <v>0.007049640287769785</v>
      </c>
      <c r="C25" s="47" t="s">
        <v>77</v>
      </c>
      <c r="D25" s="31">
        <f t="shared" si="1"/>
        <v>76.78552744249998</v>
      </c>
      <c r="E25" s="60">
        <f t="shared" si="2"/>
        <v>12.614399165225175</v>
      </c>
      <c r="F25" s="33">
        <f t="shared" si="3"/>
        <v>2275.1267390370363</v>
      </c>
      <c r="G25" s="104">
        <f t="shared" si="4"/>
        <v>2067.891889131122</v>
      </c>
      <c r="H25" s="32">
        <f t="shared" si="5"/>
        <v>13.336810556006586</v>
      </c>
      <c r="I25" s="33">
        <f t="shared" si="6"/>
        <v>2320.636836814814</v>
      </c>
      <c r="J25" s="104">
        <f t="shared" si="7"/>
        <v>2100.290788846094</v>
      </c>
      <c r="K25" s="64">
        <f t="shared" si="8"/>
        <v>4400</v>
      </c>
      <c r="M25">
        <f aca="true" t="shared" si="13" ref="M25:M40">M24+1</f>
        <v>3</v>
      </c>
      <c r="N25" s="10">
        <f t="shared" si="9"/>
        <v>0.0095</v>
      </c>
      <c r="P25" s="10">
        <f t="shared" si="10"/>
        <v>0.0069</v>
      </c>
      <c r="S25" s="1">
        <f t="shared" si="11"/>
        <v>73.09920952249998</v>
      </c>
      <c r="T25" s="1">
        <f>T24</f>
        <v>20.479543999999997</v>
      </c>
      <c r="U25" s="6">
        <f t="shared" si="12"/>
        <v>1.6666666666666667</v>
      </c>
    </row>
    <row r="26" spans="1:21" ht="15.75">
      <c r="A26" s="42" t="s">
        <v>79</v>
      </c>
      <c r="B26" s="46">
        <f t="shared" si="0"/>
        <v>-0.015260575539568347</v>
      </c>
      <c r="C26" s="47" t="s">
        <v>77</v>
      </c>
      <c r="D26" s="31">
        <f t="shared" si="1"/>
        <v>-166.2200189015</v>
      </c>
      <c r="E26" s="60">
        <f t="shared" si="2"/>
        <v>27.915139142027538</v>
      </c>
      <c r="F26" s="33">
        <f t="shared" si="3"/>
        <v>4925.037597081481</v>
      </c>
      <c r="G26" s="104">
        <f t="shared" si="4"/>
        <v>4031.0586263291634</v>
      </c>
      <c r="H26" s="32">
        <f t="shared" si="5"/>
        <v>30.01969755292881</v>
      </c>
      <c r="I26" s="33">
        <f t="shared" si="6"/>
        <v>5062.824472637037</v>
      </c>
      <c r="J26" s="104">
        <f t="shared" si="7"/>
        <v>4099.2018174107625</v>
      </c>
      <c r="K26" s="64">
        <f t="shared" si="8"/>
        <v>4400</v>
      </c>
      <c r="M26">
        <f t="shared" si="13"/>
        <v>4</v>
      </c>
      <c r="N26" s="10">
        <f t="shared" si="9"/>
        <v>-0.0192</v>
      </c>
      <c r="P26" s="10">
        <f t="shared" si="10"/>
        <v>-0.01502</v>
      </c>
      <c r="S26" s="1">
        <f t="shared" si="11"/>
        <v>155.0592819815</v>
      </c>
      <c r="T26" s="1">
        <f>D88</f>
        <v>62.004094</v>
      </c>
      <c r="U26" s="6">
        <f t="shared" si="12"/>
        <v>1.6666666666666667</v>
      </c>
    </row>
    <row r="27" spans="1:21" ht="15.75">
      <c r="A27" s="42" t="s">
        <v>80</v>
      </c>
      <c r="B27" s="46">
        <f t="shared" si="0"/>
        <v>0.006291510791366906</v>
      </c>
      <c r="C27" s="47" t="s">
        <v>77</v>
      </c>
      <c r="D27" s="31">
        <f t="shared" si="1"/>
        <v>68.52789004899999</v>
      </c>
      <c r="E27" s="60">
        <f t="shared" si="2"/>
        <v>11.235763994567218</v>
      </c>
      <c r="F27" s="33">
        <f t="shared" si="3"/>
        <v>2030.4560014518513</v>
      </c>
      <c r="G27" s="104">
        <f t="shared" si="4"/>
        <v>1864.0642204063502</v>
      </c>
      <c r="H27" s="32">
        <f t="shared" si="5"/>
        <v>13.43368344586088</v>
      </c>
      <c r="I27" s="33">
        <f t="shared" si="6"/>
        <v>2168.242877007407</v>
      </c>
      <c r="J27" s="104">
        <f t="shared" si="7"/>
        <v>1965.184996890032</v>
      </c>
      <c r="K27" s="64">
        <f t="shared" si="8"/>
        <v>4400</v>
      </c>
      <c r="M27">
        <f t="shared" si="13"/>
        <v>5</v>
      </c>
      <c r="N27" s="10">
        <f t="shared" si="9"/>
        <v>0.0091</v>
      </c>
      <c r="P27" s="10">
        <f t="shared" si="10"/>
        <v>0.00612</v>
      </c>
      <c r="S27" s="1">
        <f t="shared" si="11"/>
        <v>57.367153128999995</v>
      </c>
      <c r="T27" s="1">
        <f>T26</f>
        <v>62.004094</v>
      </c>
      <c r="U27" s="6">
        <f t="shared" si="12"/>
        <v>1.6666666666666667</v>
      </c>
    </row>
    <row r="28" spans="1:21" ht="15.75">
      <c r="A28" s="42" t="s">
        <v>81</v>
      </c>
      <c r="B28" s="46">
        <f t="shared" si="0"/>
        <v>-0.013226474820143885</v>
      </c>
      <c r="C28" s="47" t="s">
        <v>77</v>
      </c>
      <c r="D28" s="31">
        <f t="shared" si="1"/>
        <v>-144.06434992599998</v>
      </c>
      <c r="E28" s="60">
        <f t="shared" si="2"/>
        <v>24.059218026921723</v>
      </c>
      <c r="F28" s="33">
        <f t="shared" si="3"/>
        <v>4268.573331140739</v>
      </c>
      <c r="G28" s="104">
        <f t="shared" si="4"/>
        <v>3583.6056084779448</v>
      </c>
      <c r="H28" s="32">
        <f t="shared" si="5"/>
        <v>27.02572351628273</v>
      </c>
      <c r="I28" s="33">
        <f t="shared" si="6"/>
        <v>4460.550593362961</v>
      </c>
      <c r="J28" s="104">
        <f t="shared" si="7"/>
        <v>3686.7455701552885</v>
      </c>
      <c r="K28" s="64">
        <f t="shared" si="8"/>
        <v>4400</v>
      </c>
      <c r="M28">
        <f t="shared" si="13"/>
        <v>6</v>
      </c>
      <c r="N28" s="10">
        <f t="shared" si="9"/>
        <v>-0.0189</v>
      </c>
      <c r="P28" s="10">
        <f t="shared" si="10"/>
        <v>-0.01288</v>
      </c>
      <c r="S28" s="1">
        <f t="shared" si="11"/>
        <v>128.51419168599998</v>
      </c>
      <c r="T28" s="1">
        <f>D89</f>
        <v>86.38976799999999</v>
      </c>
      <c r="U28" s="6">
        <f t="shared" si="12"/>
        <v>1.6666666666666667</v>
      </c>
    </row>
    <row r="29" spans="1:21" ht="15.75">
      <c r="A29" s="42" t="s">
        <v>82</v>
      </c>
      <c r="B29" s="46">
        <f t="shared" si="0"/>
        <v>0.00521453237410072</v>
      </c>
      <c r="C29" s="47" t="s">
        <v>77</v>
      </c>
      <c r="D29" s="31">
        <f t="shared" si="1"/>
        <v>56.797311971499994</v>
      </c>
      <c r="E29" s="60">
        <f t="shared" si="2"/>
        <v>9.286700077961848</v>
      </c>
      <c r="F29" s="33">
        <f t="shared" si="3"/>
        <v>1682.8833176740739</v>
      </c>
      <c r="G29" s="104">
        <f t="shared" si="4"/>
        <v>1567.2536936599106</v>
      </c>
      <c r="H29" s="32">
        <f t="shared" si="5"/>
        <v>12.36609352800886</v>
      </c>
      <c r="I29" s="33">
        <f t="shared" si="6"/>
        <v>1874.860579896296</v>
      </c>
      <c r="J29" s="104">
        <f t="shared" si="7"/>
        <v>1714.9740181197687</v>
      </c>
      <c r="K29" s="64">
        <f t="shared" si="8"/>
        <v>4400</v>
      </c>
      <c r="M29">
        <f t="shared" si="13"/>
        <v>7</v>
      </c>
      <c r="N29" s="10">
        <f t="shared" si="9"/>
        <v>0.0084</v>
      </c>
      <c r="P29" s="10">
        <f t="shared" si="10"/>
        <v>0.00502</v>
      </c>
      <c r="S29" s="1">
        <f t="shared" si="11"/>
        <v>41.24715373149999</v>
      </c>
      <c r="T29" s="1">
        <f>T28</f>
        <v>86.38976799999999</v>
      </c>
      <c r="U29" s="6">
        <f t="shared" si="12"/>
        <v>1.6666666666666667</v>
      </c>
    </row>
    <row r="30" spans="1:21" ht="15.75">
      <c r="A30" s="42" t="s">
        <v>83</v>
      </c>
      <c r="B30" s="46">
        <f t="shared" si="0"/>
        <v>-0.009656834532374101</v>
      </c>
      <c r="C30" s="47" t="s">
        <v>77</v>
      </c>
      <c r="D30" s="31">
        <f t="shared" si="1"/>
        <v>-105.18339982249998</v>
      </c>
      <c r="E30" s="60">
        <f t="shared" si="2"/>
        <v>17.398172800130784</v>
      </c>
      <c r="F30" s="33">
        <f t="shared" si="3"/>
        <v>3116.5451799259254</v>
      </c>
      <c r="G30" s="104">
        <f t="shared" si="4"/>
        <v>2738.085944674927</v>
      </c>
      <c r="H30" s="32">
        <f t="shared" si="5"/>
        <v>20.971853743290232</v>
      </c>
      <c r="I30" s="33">
        <f t="shared" si="6"/>
        <v>3343.6852199259256</v>
      </c>
      <c r="J30" s="104">
        <f t="shared" si="7"/>
        <v>2880.4539334463975</v>
      </c>
      <c r="K30" s="64">
        <f t="shared" si="8"/>
        <v>4400</v>
      </c>
      <c r="M30">
        <f t="shared" si="13"/>
        <v>8</v>
      </c>
      <c r="N30" s="10">
        <f t="shared" si="9"/>
        <v>-0.0155</v>
      </c>
      <c r="P30" s="10">
        <f t="shared" si="10"/>
        <v>-0.0093</v>
      </c>
      <c r="S30" s="1">
        <f t="shared" si="11"/>
        <v>86.78505658249998</v>
      </c>
      <c r="T30" s="1">
        <f>D90</f>
        <v>102.213018</v>
      </c>
      <c r="U30" s="6">
        <f t="shared" si="12"/>
        <v>1.6666666666666667</v>
      </c>
    </row>
    <row r="31" spans="1:21" ht="15.75">
      <c r="A31" s="42" t="s">
        <v>84</v>
      </c>
      <c r="B31" s="46">
        <f t="shared" si="0"/>
        <v>0.0032255395683453243</v>
      </c>
      <c r="C31" s="47" t="s">
        <v>77</v>
      </c>
      <c r="D31" s="31">
        <f t="shared" si="1"/>
        <v>35.13296380125</v>
      </c>
      <c r="E31" s="60">
        <f t="shared" si="2"/>
        <v>5.715514829815954</v>
      </c>
      <c r="F31" s="33">
        <f t="shared" si="3"/>
        <v>1040.976705222222</v>
      </c>
      <c r="G31" s="104">
        <f t="shared" si="4"/>
        <v>995.7620405787015</v>
      </c>
      <c r="H31" s="32">
        <f t="shared" si="5"/>
        <v>9.39152914797493</v>
      </c>
      <c r="I31" s="33">
        <f t="shared" si="6"/>
        <v>1268.116745222222</v>
      </c>
      <c r="J31" s="104">
        <f t="shared" si="7"/>
        <v>1187.344211684435</v>
      </c>
      <c r="K31" s="64">
        <f t="shared" si="8"/>
        <v>4400</v>
      </c>
      <c r="M31">
        <f t="shared" si="13"/>
        <v>9</v>
      </c>
      <c r="N31" s="10">
        <f t="shared" si="9"/>
        <v>0.0061</v>
      </c>
      <c r="P31" s="10">
        <f t="shared" si="10"/>
        <v>0.00305</v>
      </c>
      <c r="S31" s="1">
        <f t="shared" si="11"/>
        <v>16.734620561249997</v>
      </c>
      <c r="T31" s="1">
        <f>T30</f>
        <v>102.213018</v>
      </c>
      <c r="U31" s="6">
        <f t="shared" si="12"/>
        <v>1.6666666666666667</v>
      </c>
    </row>
    <row r="32" spans="1:21" ht="15.75">
      <c r="A32" s="42" t="s">
        <v>85</v>
      </c>
      <c r="B32" s="46">
        <f t="shared" si="0"/>
        <v>-0.0040428057553956835</v>
      </c>
      <c r="C32" s="47" t="s">
        <v>77</v>
      </c>
      <c r="D32" s="31">
        <f t="shared" si="1"/>
        <v>-44.03472512124999</v>
      </c>
      <c r="E32" s="60">
        <f t="shared" si="2"/>
        <v>7.178487227812218</v>
      </c>
      <c r="F32" s="33">
        <f t="shared" si="3"/>
        <v>1304.7325961851848</v>
      </c>
      <c r="G32" s="104">
        <f t="shared" si="4"/>
        <v>1234.3385979044558</v>
      </c>
      <c r="H32" s="32">
        <f t="shared" si="5"/>
        <v>9.489561354258914</v>
      </c>
      <c r="I32" s="33">
        <f t="shared" si="6"/>
        <v>1448.2048939629626</v>
      </c>
      <c r="J32" s="104">
        <f t="shared" si="7"/>
        <v>1351.31603093154</v>
      </c>
      <c r="K32" s="64">
        <f t="shared" si="8"/>
        <v>4400</v>
      </c>
      <c r="M32">
        <f t="shared" si="13"/>
        <v>10</v>
      </c>
      <c r="N32" s="10">
        <f t="shared" si="9"/>
        <v>-0.0072</v>
      </c>
      <c r="P32" s="10">
        <f t="shared" si="10"/>
        <v>-0.00385</v>
      </c>
      <c r="S32" s="1">
        <f t="shared" si="11"/>
        <v>32.41346900124999</v>
      </c>
      <c r="T32" s="1">
        <f>D91</f>
        <v>64.56253400000001</v>
      </c>
      <c r="U32" s="6">
        <f t="shared" si="12"/>
        <v>1.6666666666666667</v>
      </c>
    </row>
    <row r="33" spans="1:21" ht="15.75">
      <c r="A33" s="42" t="s">
        <v>86</v>
      </c>
      <c r="B33" s="46">
        <f t="shared" si="0"/>
        <v>1.093525179856128E-05</v>
      </c>
      <c r="C33" s="47" t="s">
        <v>77</v>
      </c>
      <c r="D33" s="31">
        <f t="shared" si="1"/>
        <v>0.11910807400000137</v>
      </c>
      <c r="E33" s="60">
        <f t="shared" si="2"/>
        <v>0.019222347704883083</v>
      </c>
      <c r="F33" s="33">
        <f t="shared" si="3"/>
        <v>3.529128118518559</v>
      </c>
      <c r="G33" s="104">
        <f t="shared" si="4"/>
        <v>3.528589258541765</v>
      </c>
      <c r="H33" s="32">
        <f t="shared" si="5"/>
        <v>6.0808527179256595</v>
      </c>
      <c r="I33" s="33">
        <f t="shared" si="6"/>
        <v>147.00142589629638</v>
      </c>
      <c r="J33" s="104">
        <f t="shared" si="7"/>
        <v>143.3174555737307</v>
      </c>
      <c r="K33" s="64">
        <f t="shared" si="8"/>
        <v>2647.2154062547247</v>
      </c>
      <c r="M33">
        <f t="shared" si="13"/>
        <v>11</v>
      </c>
      <c r="N33" s="10">
        <f t="shared" si="9"/>
        <v>0.0015</v>
      </c>
      <c r="P33" s="10">
        <f t="shared" si="10"/>
        <v>-8E-05</v>
      </c>
      <c r="S33" s="1">
        <f t="shared" si="11"/>
        <v>-11.502148046</v>
      </c>
      <c r="T33" s="1">
        <f>T32</f>
        <v>64.56253400000001</v>
      </c>
      <c r="U33" s="6">
        <f t="shared" si="12"/>
        <v>1.0027331084298199</v>
      </c>
    </row>
    <row r="34" spans="1:16" ht="12.75">
      <c r="A34" s="42"/>
      <c r="B34" s="46"/>
      <c r="C34" s="47"/>
      <c r="D34" s="31"/>
      <c r="E34" s="60"/>
      <c r="F34" s="33"/>
      <c r="G34" s="104"/>
      <c r="H34" s="32"/>
      <c r="I34" s="33"/>
      <c r="J34" s="50"/>
      <c r="K34" s="65"/>
      <c r="M34">
        <f t="shared" si="13"/>
        <v>12</v>
      </c>
      <c r="N34" s="10"/>
      <c r="P34" s="10"/>
    </row>
    <row r="35" spans="1:21" ht="15.75">
      <c r="A35" s="42" t="s">
        <v>87</v>
      </c>
      <c r="B35" s="46">
        <f aca="true" t="shared" si="14" ref="B35:B41">N35+(P35-N35)/(P$22-N$22)*(B$17-N$22)</f>
        <v>0.00933884892086331</v>
      </c>
      <c r="C35" s="47" t="s">
        <v>88</v>
      </c>
      <c r="D35" s="31">
        <f aca="true" t="shared" si="15" ref="D35:D41">B35*B$19*B$16^2</f>
        <v>26.177865916875</v>
      </c>
      <c r="E35" s="60">
        <f aca="true" t="shared" si="16" ref="E35:E41">(ABS($D35))/1000/$J$8/(($J$5-$J$9)*(1-(1.5/3*(1-SQRT(1-8/3*ABS($D35/1000/($J$5-$J$9)^2/$D$10))))))*10000</f>
        <v>4.249892662264254</v>
      </c>
      <c r="F35" s="33">
        <f aca="true" t="shared" si="17" ref="F35:F41">ABS($D35*6/$J$5^2)</f>
        <v>775.6404716111111</v>
      </c>
      <c r="G35" s="104">
        <f aca="true" t="shared" si="18" ref="G35:G41">ABS($D35/($J$5^2/6+1.33*E35*10^-4*($J$5/2-$J$9)^2*14*2/$J$5))</f>
        <v>750.3075279778675</v>
      </c>
      <c r="H35" s="32"/>
      <c r="I35" s="33"/>
      <c r="J35" s="50"/>
      <c r="K35" s="64">
        <f aca="true" t="shared" si="19" ref="K35:K41">1.1*U35*(0.06*$D$9+0.6)*1000</f>
        <v>4400</v>
      </c>
      <c r="M35">
        <f t="shared" si="13"/>
        <v>13</v>
      </c>
      <c r="N35" s="10">
        <f t="shared" si="9"/>
        <v>0.0067</v>
      </c>
      <c r="P35" s="10">
        <f t="shared" si="10"/>
        <v>0.0095</v>
      </c>
      <c r="U35" s="6">
        <f aca="true" t="shared" si="20" ref="U35:U41">5/3</f>
        <v>1.6666666666666667</v>
      </c>
    </row>
    <row r="36" spans="1:21" ht="15.75">
      <c r="A36" s="42" t="s">
        <v>89</v>
      </c>
      <c r="B36" s="46">
        <f t="shared" si="14"/>
        <v>0.015784892086330937</v>
      </c>
      <c r="C36" s="47" t="s">
        <v>88</v>
      </c>
      <c r="D36" s="31">
        <f t="shared" si="15"/>
        <v>44.24686511687501</v>
      </c>
      <c r="E36" s="60">
        <f t="shared" si="16"/>
        <v>7.213426243757723</v>
      </c>
      <c r="F36" s="33">
        <f t="shared" si="17"/>
        <v>1311.0182256851854</v>
      </c>
      <c r="G36" s="104">
        <f t="shared" si="18"/>
        <v>1239.9594887753683</v>
      </c>
      <c r="H36" s="32"/>
      <c r="I36" s="33"/>
      <c r="J36" s="50"/>
      <c r="K36" s="64">
        <f t="shared" si="19"/>
        <v>4400</v>
      </c>
      <c r="M36">
        <f t="shared" si="13"/>
        <v>14</v>
      </c>
      <c r="N36" s="10">
        <f t="shared" si="9"/>
        <v>0.0139</v>
      </c>
      <c r="P36" s="10">
        <f t="shared" si="10"/>
        <v>0.0159</v>
      </c>
      <c r="U36" s="6">
        <f t="shared" si="20"/>
        <v>1.6666666666666667</v>
      </c>
    </row>
    <row r="37" spans="1:21" ht="15.75">
      <c r="A37" s="42" t="s">
        <v>90</v>
      </c>
      <c r="B37" s="46">
        <f t="shared" si="14"/>
        <v>0.010907194244604316</v>
      </c>
      <c r="C37" s="47" t="s">
        <v>88</v>
      </c>
      <c r="D37" s="31">
        <f t="shared" si="15"/>
        <v>30.574117954374998</v>
      </c>
      <c r="E37" s="60">
        <f t="shared" si="16"/>
        <v>4.968636695584144</v>
      </c>
      <c r="F37" s="33">
        <f t="shared" si="17"/>
        <v>905.8997912407406</v>
      </c>
      <c r="G37" s="104">
        <f t="shared" si="18"/>
        <v>871.4986879146828</v>
      </c>
      <c r="H37" s="32"/>
      <c r="I37" s="33"/>
      <c r="J37" s="50"/>
      <c r="K37" s="64">
        <f t="shared" si="19"/>
        <v>4400</v>
      </c>
      <c r="M37">
        <f t="shared" si="13"/>
        <v>15</v>
      </c>
      <c r="N37" s="10">
        <f t="shared" si="9"/>
        <v>0.0143</v>
      </c>
      <c r="P37" s="10">
        <f t="shared" si="10"/>
        <v>0.0107</v>
      </c>
      <c r="U37" s="6">
        <f t="shared" si="20"/>
        <v>1.6666666666666667</v>
      </c>
    </row>
    <row r="38" spans="1:21" ht="15.75">
      <c r="A38" s="42" t="s">
        <v>91</v>
      </c>
      <c r="B38" s="46">
        <f t="shared" si="14"/>
        <v>-0.01629136690647482</v>
      </c>
      <c r="C38" s="47" t="s">
        <v>88</v>
      </c>
      <c r="D38" s="31">
        <f t="shared" si="15"/>
        <v>-45.666572196875</v>
      </c>
      <c r="E38" s="60">
        <f t="shared" si="16"/>
        <v>7.447338845699624</v>
      </c>
      <c r="F38" s="33">
        <f t="shared" si="17"/>
        <v>1353.083620648148</v>
      </c>
      <c r="G38" s="104">
        <f t="shared" si="18"/>
        <v>1277.4995526156943</v>
      </c>
      <c r="H38" s="32"/>
      <c r="I38" s="33"/>
      <c r="J38" s="50"/>
      <c r="K38" s="64">
        <f t="shared" si="19"/>
        <v>4400</v>
      </c>
      <c r="M38">
        <f t="shared" si="13"/>
        <v>16</v>
      </c>
      <c r="N38" s="10">
        <f t="shared" si="9"/>
        <v>0.0035</v>
      </c>
      <c r="P38" s="10">
        <f t="shared" si="10"/>
        <v>-0.0175</v>
      </c>
      <c r="U38" s="6">
        <f t="shared" si="20"/>
        <v>1.6666666666666667</v>
      </c>
    </row>
    <row r="39" spans="1:21" ht="15.75">
      <c r="A39" s="42" t="s">
        <v>92</v>
      </c>
      <c r="B39" s="46">
        <f t="shared" si="14"/>
        <v>-0.06704532374100719</v>
      </c>
      <c r="C39" s="47" t="s">
        <v>88</v>
      </c>
      <c r="D39" s="31">
        <f t="shared" si="15"/>
        <v>-187.93574134437497</v>
      </c>
      <c r="E39" s="60">
        <f t="shared" si="16"/>
        <v>31.738800708968107</v>
      </c>
      <c r="F39" s="33">
        <f t="shared" si="17"/>
        <v>5568.466410203703</v>
      </c>
      <c r="G39" s="104">
        <f t="shared" si="18"/>
        <v>4447.124216134611</v>
      </c>
      <c r="H39" s="32"/>
      <c r="I39" s="33"/>
      <c r="J39" s="50"/>
      <c r="K39" s="64">
        <f t="shared" si="19"/>
        <v>4400</v>
      </c>
      <c r="M39">
        <f t="shared" si="13"/>
        <v>17</v>
      </c>
      <c r="N39" s="10">
        <f t="shared" si="9"/>
        <v>-0.0465</v>
      </c>
      <c r="P39" s="10">
        <f t="shared" si="10"/>
        <v>-0.0683</v>
      </c>
      <c r="U39" s="6">
        <f t="shared" si="20"/>
        <v>1.6666666666666667</v>
      </c>
    </row>
    <row r="40" spans="1:21" ht="15.75">
      <c r="A40" s="42" t="s">
        <v>93</v>
      </c>
      <c r="B40" s="46">
        <f t="shared" si="14"/>
        <v>-0.07890359712230216</v>
      </c>
      <c r="C40" s="47" t="s">
        <v>88</v>
      </c>
      <c r="D40" s="31">
        <f t="shared" si="15"/>
        <v>-221.17584333250002</v>
      </c>
      <c r="E40" s="60">
        <f t="shared" si="16"/>
        <v>37.68022311242913</v>
      </c>
      <c r="F40" s="33">
        <f t="shared" si="17"/>
        <v>6553.358320962963</v>
      </c>
      <c r="G40" s="104">
        <f t="shared" si="18"/>
        <v>5043.559703262963</v>
      </c>
      <c r="H40" s="32"/>
      <c r="I40" s="33"/>
      <c r="J40" s="50"/>
      <c r="K40" s="64">
        <f t="shared" si="19"/>
        <v>4400</v>
      </c>
      <c r="M40">
        <f t="shared" si="13"/>
        <v>18</v>
      </c>
      <c r="N40" s="10">
        <f>HLOOKUP(N$22,P1_1.96,$M40)</f>
        <v>-0.0544</v>
      </c>
      <c r="P40" s="10">
        <f>HLOOKUP(P$22,P1_1.96,$M40)</f>
        <v>-0.0804</v>
      </c>
      <c r="U40" s="6">
        <f t="shared" si="20"/>
        <v>1.6666666666666667</v>
      </c>
    </row>
    <row r="41" spans="1:21" ht="15.75">
      <c r="A41" s="42" t="s">
        <v>94</v>
      </c>
      <c r="B41" s="46">
        <f t="shared" si="14"/>
        <v>-0.08299784172661871</v>
      </c>
      <c r="C41" s="47" t="s">
        <v>88</v>
      </c>
      <c r="D41" s="31">
        <f t="shared" si="15"/>
        <v>-232.65248110562501</v>
      </c>
      <c r="E41" s="60">
        <f t="shared" si="16"/>
        <v>39.75739907690079</v>
      </c>
      <c r="F41" s="33">
        <f t="shared" si="17"/>
        <v>6893.406847574074</v>
      </c>
      <c r="G41" s="104">
        <f t="shared" si="18"/>
        <v>5238.73236753851</v>
      </c>
      <c r="H41" s="32"/>
      <c r="I41" s="33"/>
      <c r="J41" s="50"/>
      <c r="K41" s="64">
        <f t="shared" si="19"/>
        <v>4400</v>
      </c>
      <c r="M41">
        <f aca="true" t="shared" si="21" ref="M41:M52">M40+1</f>
        <v>19</v>
      </c>
      <c r="N41" s="10">
        <f aca="true" t="shared" si="22" ref="N41:N52">HLOOKUP(N$22,P1_1.96,$M41)</f>
        <v>-0.0584</v>
      </c>
      <c r="P41" s="10">
        <f aca="true" t="shared" si="23" ref="P41:P52">HLOOKUP(P$22,P1_1.96,$M41)</f>
        <v>-0.0845</v>
      </c>
      <c r="U41" s="6">
        <f t="shared" si="20"/>
        <v>1.6666666666666667</v>
      </c>
    </row>
    <row r="42" spans="1:16" ht="12.75">
      <c r="A42" s="42"/>
      <c r="B42" s="46"/>
      <c r="C42" s="47"/>
      <c r="D42" s="31"/>
      <c r="E42" s="60"/>
      <c r="F42" s="33"/>
      <c r="G42" s="34">
        <f>IF(ABS($D42)&gt;$J$10,"--&gt; As comprimés requis","")</f>
      </c>
      <c r="H42" s="32"/>
      <c r="I42" s="33"/>
      <c r="J42" s="50"/>
      <c r="K42" s="65"/>
      <c r="M42">
        <f t="shared" si="21"/>
        <v>20</v>
      </c>
      <c r="N42" s="10"/>
      <c r="P42" s="10"/>
    </row>
    <row r="43" spans="1:16" ht="15.75">
      <c r="A43" s="42" t="s">
        <v>95</v>
      </c>
      <c r="B43" s="46">
        <f aca="true" t="shared" si="24" ref="B43:B48">N43+(P43-N43)/(P$22-N$22)*(B$17-N$22)</f>
        <v>0.09755971223021583</v>
      </c>
      <c r="C43" s="47" t="s">
        <v>96</v>
      </c>
      <c r="D43" s="31">
        <f aca="true" t="shared" si="25" ref="D43:D48">B43*B$19*B$15</f>
        <v>77.56438579999998</v>
      </c>
      <c r="E43" s="61"/>
      <c r="F43" s="55"/>
      <c r="G43" s="56"/>
      <c r="H43" s="32"/>
      <c r="I43" s="33"/>
      <c r="J43" s="50"/>
      <c r="K43" s="65"/>
      <c r="M43">
        <f t="shared" si="21"/>
        <v>21</v>
      </c>
      <c r="N43" s="10">
        <f t="shared" si="22"/>
        <v>0.0707</v>
      </c>
      <c r="P43" s="10">
        <f t="shared" si="23"/>
        <v>0.0992</v>
      </c>
    </row>
    <row r="44" spans="1:16" ht="15.75">
      <c r="A44" s="42" t="s">
        <v>97</v>
      </c>
      <c r="B44" s="46">
        <f t="shared" si="24"/>
        <v>0.1287812949640288</v>
      </c>
      <c r="C44" s="47" t="s">
        <v>96</v>
      </c>
      <c r="D44" s="31">
        <f t="shared" si="25"/>
        <v>102.38695685</v>
      </c>
      <c r="E44" s="61"/>
      <c r="F44" s="55"/>
      <c r="G44" s="56"/>
      <c r="H44" s="32"/>
      <c r="I44" s="33"/>
      <c r="J44" s="50"/>
      <c r="K44" s="65"/>
      <c r="M44">
        <f t="shared" si="21"/>
        <v>22</v>
      </c>
      <c r="N44" s="10">
        <f t="shared" si="22"/>
        <v>0.1383</v>
      </c>
      <c r="P44" s="10">
        <f t="shared" si="23"/>
        <v>0.1282</v>
      </c>
    </row>
    <row r="45" spans="1:16" ht="15.75">
      <c r="A45" s="42" t="s">
        <v>98</v>
      </c>
      <c r="B45" s="46">
        <f t="shared" si="24"/>
        <v>0.12628345323741008</v>
      </c>
      <c r="C45" s="47" t="s">
        <v>96</v>
      </c>
      <c r="D45" s="31">
        <f t="shared" si="25"/>
        <v>100.40105965000001</v>
      </c>
      <c r="E45" s="61"/>
      <c r="F45" s="55"/>
      <c r="G45" s="56"/>
      <c r="H45" s="32"/>
      <c r="I45" s="33"/>
      <c r="J45" s="50"/>
      <c r="K45" s="65"/>
      <c r="M45">
        <f t="shared" si="21"/>
        <v>23</v>
      </c>
      <c r="N45" s="10">
        <f t="shared" si="22"/>
        <v>0.1604</v>
      </c>
      <c r="P45" s="10">
        <f t="shared" si="23"/>
        <v>0.1242</v>
      </c>
    </row>
    <row r="46" spans="1:16" ht="15.75">
      <c r="A46" s="42" t="s">
        <v>99</v>
      </c>
      <c r="B46" s="46">
        <f t="shared" si="24"/>
        <v>0.1233201438848921</v>
      </c>
      <c r="C46" s="47" t="s">
        <v>96</v>
      </c>
      <c r="D46" s="31">
        <f t="shared" si="25"/>
        <v>98.045094625</v>
      </c>
      <c r="E46" s="61"/>
      <c r="F46" s="55"/>
      <c r="G46" s="56"/>
      <c r="H46" s="32"/>
      <c r="I46" s="33"/>
      <c r="J46" s="50"/>
      <c r="K46" s="65"/>
      <c r="M46">
        <f t="shared" si="21"/>
        <v>24</v>
      </c>
      <c r="N46" s="10">
        <f t="shared" si="22"/>
        <v>0.1695</v>
      </c>
      <c r="P46" s="10">
        <f t="shared" si="23"/>
        <v>0.1205</v>
      </c>
    </row>
    <row r="47" spans="1:16" ht="15.75">
      <c r="A47" s="42" t="s">
        <v>100</v>
      </c>
      <c r="B47" s="46">
        <f t="shared" si="24"/>
        <v>0.05733956834532374</v>
      </c>
      <c r="C47" s="47" t="s">
        <v>96</v>
      </c>
      <c r="D47" s="31">
        <f t="shared" si="25"/>
        <v>45.58755144999999</v>
      </c>
      <c r="E47" s="61"/>
      <c r="F47" s="55"/>
      <c r="G47" s="56"/>
      <c r="H47" s="32"/>
      <c r="I47" s="33"/>
      <c r="J47" s="50"/>
      <c r="K47" s="65"/>
      <c r="M47">
        <f t="shared" si="21"/>
        <v>25</v>
      </c>
      <c r="N47" s="10">
        <f t="shared" si="22"/>
        <v>0.0891</v>
      </c>
      <c r="P47" s="10">
        <f t="shared" si="23"/>
        <v>0.0554</v>
      </c>
    </row>
    <row r="48" spans="1:16" ht="15.75">
      <c r="A48" s="42" t="s">
        <v>101</v>
      </c>
      <c r="B48" s="46">
        <f t="shared" si="24"/>
        <v>-0.012063309352517987</v>
      </c>
      <c r="C48" s="47" t="s">
        <v>96</v>
      </c>
      <c r="D48" s="31">
        <f t="shared" si="25"/>
        <v>-9.5908768</v>
      </c>
      <c r="E48" s="60"/>
      <c r="F48" s="33"/>
      <c r="G48" s="50"/>
      <c r="H48" s="32"/>
      <c r="I48" s="33"/>
      <c r="J48" s="50"/>
      <c r="K48" s="65"/>
      <c r="M48">
        <f t="shared" si="21"/>
        <v>26</v>
      </c>
      <c r="N48" s="10">
        <f t="shared" si="22"/>
        <v>-0.0131</v>
      </c>
      <c r="P48" s="10">
        <f t="shared" si="23"/>
        <v>-0.012</v>
      </c>
    </row>
    <row r="49" spans="1:16" ht="12.75">
      <c r="A49" s="93"/>
      <c r="B49" s="94"/>
      <c r="C49" s="95"/>
      <c r="D49" s="96"/>
      <c r="E49" s="61"/>
      <c r="F49" s="55"/>
      <c r="G49" s="56"/>
      <c r="H49" s="97"/>
      <c r="I49" s="55"/>
      <c r="J49" s="98"/>
      <c r="K49" s="99"/>
      <c r="M49">
        <f t="shared" si="21"/>
        <v>27</v>
      </c>
      <c r="N49" s="10"/>
      <c r="P49" s="10"/>
    </row>
    <row r="50" spans="1:16" ht="15.75">
      <c r="A50" s="93" t="s">
        <v>102</v>
      </c>
      <c r="B50" s="94">
        <f>N50+(P50-N50)/(P$22-N$22)*(B$17-N$22)</f>
        <v>0.4006805755395683</v>
      </c>
      <c r="C50" s="95" t="s">
        <v>103</v>
      </c>
      <c r="D50" s="96">
        <f>B50*B$19*B$16</f>
        <v>161.604843725</v>
      </c>
      <c r="E50" s="61"/>
      <c r="F50" s="55"/>
      <c r="G50" s="56"/>
      <c r="H50" s="97"/>
      <c r="I50" s="55"/>
      <c r="J50" s="98"/>
      <c r="K50" s="99"/>
      <c r="M50">
        <f t="shared" si="21"/>
        <v>28</v>
      </c>
      <c r="N50" s="10">
        <f t="shared" si="22"/>
        <v>0.3496</v>
      </c>
      <c r="P50" s="10">
        <f t="shared" si="23"/>
        <v>0.4038</v>
      </c>
    </row>
    <row r="51" spans="1:16" ht="15.75">
      <c r="A51" s="93" t="s">
        <v>104</v>
      </c>
      <c r="B51" s="94">
        <f>N51+(P51-N51)/(P$22-N$22)*(B$17-N$22)</f>
        <v>0.44262661870503595</v>
      </c>
      <c r="C51" s="95" t="s">
        <v>103</v>
      </c>
      <c r="D51" s="96">
        <f>B51*B$19*B$16</f>
        <v>178.52276828749999</v>
      </c>
      <c r="E51" s="61"/>
      <c r="F51" s="55"/>
      <c r="G51" s="56"/>
      <c r="H51" s="97"/>
      <c r="I51" s="55"/>
      <c r="J51" s="98"/>
      <c r="K51" s="99"/>
      <c r="M51">
        <f t="shared" si="21"/>
        <v>29</v>
      </c>
      <c r="N51" s="10">
        <f t="shared" si="22"/>
        <v>0.3923</v>
      </c>
      <c r="P51" s="10">
        <f t="shared" si="23"/>
        <v>0.4457</v>
      </c>
    </row>
    <row r="52" spans="1:16" ht="16.5" thickBot="1">
      <c r="A52" s="43" t="s">
        <v>105</v>
      </c>
      <c r="B52" s="48">
        <f>N52+(P52-N52)/(P$22-N$22)*(B$17-N$22)</f>
        <v>0.4553553956834532</v>
      </c>
      <c r="C52" s="49" t="s">
        <v>103</v>
      </c>
      <c r="D52" s="35">
        <f>B52*B$19*B$16</f>
        <v>183.65661339999997</v>
      </c>
      <c r="E52" s="62"/>
      <c r="F52" s="37"/>
      <c r="G52" s="51"/>
      <c r="H52" s="36"/>
      <c r="I52" s="37"/>
      <c r="J52" s="51"/>
      <c r="K52" s="66"/>
      <c r="M52">
        <f t="shared" si="21"/>
        <v>30</v>
      </c>
      <c r="N52" s="10">
        <f t="shared" si="22"/>
        <v>0.4055</v>
      </c>
      <c r="P52" s="10">
        <f t="shared" si="23"/>
        <v>0.4584</v>
      </c>
    </row>
    <row r="53" spans="1:5" ht="12.75">
      <c r="A53" s="4"/>
      <c r="E53"/>
    </row>
    <row r="55" spans="1:5" ht="12.75">
      <c r="A55" s="3" t="s">
        <v>106</v>
      </c>
      <c r="D55" t="s">
        <v>117</v>
      </c>
      <c r="E55"/>
    </row>
    <row r="56" spans="1:5" ht="12.75">
      <c r="A56" s="3"/>
      <c r="E56"/>
    </row>
    <row r="57" spans="1:5" ht="12.75">
      <c r="A57" s="3"/>
      <c r="D57" s="10"/>
      <c r="E57"/>
    </row>
    <row r="58" spans="1:5" ht="12.75">
      <c r="A58" s="4" t="s">
        <v>55</v>
      </c>
      <c r="B58" s="6">
        <f>D$6</f>
        <v>8</v>
      </c>
      <c r="C58" t="s">
        <v>37</v>
      </c>
      <c r="E58"/>
    </row>
    <row r="59" spans="1:5" ht="12.75">
      <c r="A59" s="4" t="s">
        <v>56</v>
      </c>
      <c r="B59" s="6">
        <f>D$7</f>
        <v>6.95</v>
      </c>
      <c r="C59" t="s">
        <v>37</v>
      </c>
      <c r="E59"/>
    </row>
    <row r="60" spans="1:14" ht="12.75">
      <c r="A60" s="5" t="s">
        <v>57</v>
      </c>
      <c r="B60" s="6">
        <f>B58/B59</f>
        <v>1.1510791366906474</v>
      </c>
      <c r="M60" s="12"/>
      <c r="N60" s="12"/>
    </row>
    <row r="61" spans="1:5" ht="12.75">
      <c r="A61" s="5" t="s">
        <v>58</v>
      </c>
      <c r="B61" s="6">
        <f>B59/B58</f>
        <v>0.86875</v>
      </c>
      <c r="E61"/>
    </row>
    <row r="62" spans="1:5" ht="14.25">
      <c r="A62" s="4" t="s">
        <v>59</v>
      </c>
      <c r="B62" s="1">
        <f>D$8*D$7</f>
        <v>58.0325</v>
      </c>
      <c r="C62" t="s">
        <v>60</v>
      </c>
      <c r="E62"/>
    </row>
    <row r="63" ht="12.75">
      <c r="E63"/>
    </row>
    <row r="64" ht="12.75">
      <c r="E64"/>
    </row>
    <row r="65" spans="5:16" ht="13.5" thickBot="1">
      <c r="E65"/>
      <c r="M65" s="18" t="s">
        <v>61</v>
      </c>
      <c r="N65" s="19" t="s">
        <v>62</v>
      </c>
      <c r="O65" s="18" t="s">
        <v>61</v>
      </c>
      <c r="P65" s="19" t="s">
        <v>63</v>
      </c>
    </row>
    <row r="66" spans="5:16" ht="13.5" thickBot="1">
      <c r="E66" s="57" t="s">
        <v>64</v>
      </c>
      <c r="F66" s="58"/>
      <c r="G66" s="59"/>
      <c r="H66" s="57" t="s">
        <v>65</v>
      </c>
      <c r="I66" s="58"/>
      <c r="J66" s="59"/>
      <c r="M66" s="54">
        <f>HLOOKUP($B$60,P1_1.96,'Barès 1.96'!K$36)</f>
        <v>5</v>
      </c>
      <c r="N66" s="21">
        <f>HLOOKUP($B$60,P1_1.96,1)</f>
        <v>1</v>
      </c>
      <c r="O66" s="22">
        <f>M66+1</f>
        <v>6</v>
      </c>
      <c r="P66" s="21">
        <f>HLOOKUP($O$66,P2_1.96,2)</f>
        <v>1.5</v>
      </c>
    </row>
    <row r="67" spans="1:21" s="77" customFormat="1" ht="26.25" thickBot="1">
      <c r="A67" s="68"/>
      <c r="B67" s="69"/>
      <c r="C67" s="70"/>
      <c r="D67" s="67" t="s">
        <v>66</v>
      </c>
      <c r="E67" s="71" t="s">
        <v>67</v>
      </c>
      <c r="F67" s="72" t="s">
        <v>68</v>
      </c>
      <c r="G67" s="73" t="s">
        <v>69</v>
      </c>
      <c r="H67" s="74" t="s">
        <v>67</v>
      </c>
      <c r="I67" s="72" t="s">
        <v>68</v>
      </c>
      <c r="J67" s="73" t="s">
        <v>69</v>
      </c>
      <c r="K67" s="73" t="s">
        <v>70</v>
      </c>
      <c r="M67" s="76" t="s">
        <v>61</v>
      </c>
      <c r="N67" s="76" t="s">
        <v>71</v>
      </c>
      <c r="P67" s="76" t="s">
        <v>72</v>
      </c>
      <c r="S67" s="74" t="s">
        <v>73</v>
      </c>
      <c r="T67" s="74" t="s">
        <v>74</v>
      </c>
      <c r="U67" s="78" t="s">
        <v>75</v>
      </c>
    </row>
    <row r="68" spans="1:21" ht="15.75">
      <c r="A68" s="42" t="s">
        <v>76</v>
      </c>
      <c r="B68" s="46">
        <f aca="true" t="shared" si="26" ref="B68:B77">N68+(P68-N68)/(P$66-N$66)*(B$60-N$66)</f>
        <v>-0.015976258992805754</v>
      </c>
      <c r="C68" s="47" t="s">
        <v>77</v>
      </c>
      <c r="D68" s="31">
        <f aca="true" t="shared" si="27" ref="D68:D77">B68*B$19*B$58^2</f>
        <v>-59.337104</v>
      </c>
      <c r="E68" s="60">
        <f aca="true" t="shared" si="28" ref="E68:E77">(ABS($D68))/1000/$J$8/(($J$6-$J$9)*(1-(1.5/3*(1-SQRT(1-8/3*ABS($D68/1000/($J$6-$J$9)^2/$D$10))))))*10000</f>
        <v>11.122082144214376</v>
      </c>
      <c r="F68" s="33">
        <f aca="true" t="shared" si="29" ref="F68:F77">ABS(D68*6/$J$6^2)</f>
        <v>2225.141399999999</v>
      </c>
      <c r="G68" s="104">
        <f aca="true" t="shared" si="30" ref="G68:G77">ABS($D68/($J$6^2/6+1.33*E68*10^-4*($J$6/2-$J$9)^2*14*2/$J$6))</f>
        <v>2035.2728304576003</v>
      </c>
      <c r="H68" s="32">
        <f aca="true" t="shared" si="31" ref="H68:H77">(ABS($S68))/1000/$J$8/(($J$6-$J$9)*(1-(1.5/3*(1-SQRT(1-8/3*ABS($S68/1000/($J$6-$J$9)^2/$D$10))))))*10000+T68/J$8*10</f>
        <v>13.905340267422291</v>
      </c>
      <c r="I68" s="33">
        <f aca="true" t="shared" si="32" ref="I68:I77">ABS($D68*6/$J$6^2)+T68/$J$6</f>
        <v>2419.052364499999</v>
      </c>
      <c r="J68" s="104">
        <f aca="true" t="shared" si="33" ref="J68:J77">ABS($D68/($J$6^2/6+1.33*H68*10^-4*($J$6/2-$J$9)^2*14*2/$J$6))+T68/($J$6+1.33*H68*10^-4*14)</f>
        <v>2174.844158067641</v>
      </c>
      <c r="K68" s="63">
        <f aca="true" t="shared" si="34" ref="K68:K77">1.1*U68*(0.06*$D$9+0.6)*1000</f>
        <v>4400</v>
      </c>
      <c r="M68">
        <v>2</v>
      </c>
      <c r="N68" s="10">
        <f aca="true" t="shared" si="35" ref="N68:N77">HLOOKUP(N$66,P1_1.96,$M68)</f>
        <v>-0.0151</v>
      </c>
      <c r="P68" s="10">
        <f aca="true" t="shared" si="36" ref="P68:P77">HLOOKUP(P$66,P1_1.96,$M68)</f>
        <v>-0.018</v>
      </c>
      <c r="S68" s="1">
        <f aca="true" t="shared" si="37" ref="S68:S77">T68*(ABS(D68)/T68-$J$6/2+J$9)</f>
        <v>47.314624200999994</v>
      </c>
      <c r="T68" s="1">
        <f>D43</f>
        <v>77.56438579999998</v>
      </c>
      <c r="U68" s="6">
        <f aca="true" t="shared" si="38" ref="U68:U77">IF(T68&gt;0,IF(ABS(D68)/T68&lt;$J$6,1+(2*ABS(D68)/T68)/(3*$J$6),5/3),5/3)</f>
        <v>1.6666666666666667</v>
      </c>
    </row>
    <row r="69" spans="1:21" ht="15.75">
      <c r="A69" s="42" t="s">
        <v>78</v>
      </c>
      <c r="B69" s="46">
        <f t="shared" si="26"/>
        <v>0.009639568345323741</v>
      </c>
      <c r="C69" s="47" t="s">
        <v>77</v>
      </c>
      <c r="D69" s="31">
        <f t="shared" si="27"/>
        <v>35.802128</v>
      </c>
      <c r="E69" s="60">
        <f t="shared" si="28"/>
        <v>6.662426836945756</v>
      </c>
      <c r="F69" s="33">
        <f t="shared" si="29"/>
        <v>1342.5797999999998</v>
      </c>
      <c r="G69" s="104">
        <f t="shared" si="30"/>
        <v>1271.5237169941909</v>
      </c>
      <c r="H69" s="32">
        <f t="shared" si="31"/>
        <v>9.478699027287334</v>
      </c>
      <c r="I69" s="33">
        <f t="shared" si="32"/>
        <v>1536.4907644999996</v>
      </c>
      <c r="J69" s="104">
        <f t="shared" si="33"/>
        <v>1429.41629107033</v>
      </c>
      <c r="K69" s="64">
        <f t="shared" si="34"/>
        <v>4400</v>
      </c>
      <c r="M69">
        <f aca="true" t="shared" si="39" ref="M69:M84">M68+1</f>
        <v>3</v>
      </c>
      <c r="N69" s="10">
        <f t="shared" si="35"/>
        <v>0.0097</v>
      </c>
      <c r="P69" s="10">
        <f t="shared" si="36"/>
        <v>0.0095</v>
      </c>
      <c r="S69" s="1">
        <f t="shared" si="37"/>
        <v>23.779648201000004</v>
      </c>
      <c r="T69" s="1">
        <f>T68</f>
        <v>77.56438579999998</v>
      </c>
      <c r="U69" s="6">
        <f t="shared" si="38"/>
        <v>1.6666666666666667</v>
      </c>
    </row>
    <row r="70" spans="1:21" ht="15.75">
      <c r="A70" s="42" t="s">
        <v>79</v>
      </c>
      <c r="B70" s="46">
        <f t="shared" si="26"/>
        <v>-0.020874820143884892</v>
      </c>
      <c r="C70" s="47" t="s">
        <v>77</v>
      </c>
      <c r="D70" s="31">
        <f t="shared" si="27"/>
        <v>-77.53075199999999</v>
      </c>
      <c r="E70" s="60">
        <f t="shared" si="28"/>
        <v>14.615246445069793</v>
      </c>
      <c r="F70" s="33">
        <f t="shared" si="29"/>
        <v>2907.403199999999</v>
      </c>
      <c r="G70" s="104">
        <f t="shared" si="30"/>
        <v>2589.909523068368</v>
      </c>
      <c r="H70" s="32">
        <f t="shared" si="31"/>
        <v>18.257929482543297</v>
      </c>
      <c r="I70" s="33">
        <f t="shared" si="32"/>
        <v>3163.370592124999</v>
      </c>
      <c r="J70" s="104">
        <f t="shared" si="33"/>
        <v>2757.2035761239554</v>
      </c>
      <c r="K70" s="64">
        <f t="shared" si="34"/>
        <v>4400</v>
      </c>
      <c r="M70">
        <f t="shared" si="39"/>
        <v>4</v>
      </c>
      <c r="N70" s="10">
        <f t="shared" si="35"/>
        <v>-0.0216</v>
      </c>
      <c r="P70" s="10">
        <f t="shared" si="36"/>
        <v>-0.0192</v>
      </c>
      <c r="S70" s="1">
        <f t="shared" si="37"/>
        <v>61.66077368824999</v>
      </c>
      <c r="T70" s="1">
        <f>D44</f>
        <v>102.38695685</v>
      </c>
      <c r="U70" s="6">
        <f t="shared" si="38"/>
        <v>1.6666666666666667</v>
      </c>
    </row>
    <row r="71" spans="1:21" ht="15.75">
      <c r="A71" s="42" t="s">
        <v>80</v>
      </c>
      <c r="B71" s="46">
        <f t="shared" si="26"/>
        <v>0.01056546762589928</v>
      </c>
      <c r="C71" s="47" t="s">
        <v>77</v>
      </c>
      <c r="D71" s="31">
        <f t="shared" si="27"/>
        <v>39.240992</v>
      </c>
      <c r="E71" s="60">
        <f t="shared" si="28"/>
        <v>7.310003390738187</v>
      </c>
      <c r="F71" s="33">
        <f t="shared" si="29"/>
        <v>1471.5371999999995</v>
      </c>
      <c r="G71" s="104">
        <f t="shared" si="30"/>
        <v>1386.523455714668</v>
      </c>
      <c r="H71" s="32">
        <f t="shared" si="31"/>
        <v>11.024790401956373</v>
      </c>
      <c r="I71" s="33">
        <f t="shared" si="32"/>
        <v>1727.5045921249996</v>
      </c>
      <c r="J71" s="104">
        <f t="shared" si="33"/>
        <v>1590.4504596875256</v>
      </c>
      <c r="K71" s="64">
        <f t="shared" si="34"/>
        <v>4326.351173157268</v>
      </c>
      <c r="M71">
        <f t="shared" si="39"/>
        <v>5</v>
      </c>
      <c r="N71" s="10">
        <f t="shared" si="35"/>
        <v>0.0112</v>
      </c>
      <c r="P71" s="10">
        <f t="shared" si="36"/>
        <v>0.0091</v>
      </c>
      <c r="S71" s="1">
        <f t="shared" si="37"/>
        <v>23.371013688249995</v>
      </c>
      <c r="T71" s="1">
        <f>T70</f>
        <v>102.38695685</v>
      </c>
      <c r="U71" s="6">
        <f t="shared" si="38"/>
        <v>1.6387693837716921</v>
      </c>
    </row>
    <row r="72" spans="1:21" ht="15.75">
      <c r="A72" s="42" t="s">
        <v>81</v>
      </c>
      <c r="B72" s="46">
        <f t="shared" si="26"/>
        <v>-0.024761870503597124</v>
      </c>
      <c r="C72" s="47" t="s">
        <v>77</v>
      </c>
      <c r="D72" s="31">
        <f t="shared" si="27"/>
        <v>-91.967568</v>
      </c>
      <c r="E72" s="60">
        <f t="shared" si="28"/>
        <v>17.416452846150168</v>
      </c>
      <c r="F72" s="33">
        <f t="shared" si="29"/>
        <v>3448.783799999999</v>
      </c>
      <c r="G72" s="104">
        <f t="shared" si="30"/>
        <v>3009.1881411334293</v>
      </c>
      <c r="H72" s="32">
        <f t="shared" si="31"/>
        <v>20.960156631037254</v>
      </c>
      <c r="I72" s="33">
        <f t="shared" si="32"/>
        <v>3699.786449124999</v>
      </c>
      <c r="J72" s="104">
        <f t="shared" si="33"/>
        <v>3161.8074447851795</v>
      </c>
      <c r="K72" s="64">
        <f t="shared" si="34"/>
        <v>4400</v>
      </c>
      <c r="M72">
        <f t="shared" si="39"/>
        <v>6</v>
      </c>
      <c r="N72" s="10">
        <f t="shared" si="35"/>
        <v>-0.0273</v>
      </c>
      <c r="P72" s="10">
        <f t="shared" si="36"/>
        <v>-0.0189</v>
      </c>
      <c r="S72" s="1">
        <f t="shared" si="37"/>
        <v>76.40540375424999</v>
      </c>
      <c r="T72" s="1">
        <f>D45</f>
        <v>100.40105965000001</v>
      </c>
      <c r="U72" s="6">
        <f t="shared" si="38"/>
        <v>1.6666666666666667</v>
      </c>
    </row>
    <row r="73" spans="1:21" ht="15.75">
      <c r="A73" s="42" t="s">
        <v>82</v>
      </c>
      <c r="B73" s="46">
        <f t="shared" si="26"/>
        <v>0.011749640287769784</v>
      </c>
      <c r="C73" s="47" t="s">
        <v>77</v>
      </c>
      <c r="D73" s="31">
        <f t="shared" si="27"/>
        <v>43.639103999999996</v>
      </c>
      <c r="E73" s="60">
        <f t="shared" si="28"/>
        <v>8.140220161594574</v>
      </c>
      <c r="F73" s="33">
        <f t="shared" si="29"/>
        <v>1636.4663999999993</v>
      </c>
      <c r="G73" s="104">
        <f t="shared" si="30"/>
        <v>1531.8732306473494</v>
      </c>
      <c r="H73" s="32">
        <f t="shared" si="31"/>
        <v>11.774812650902849</v>
      </c>
      <c r="I73" s="33">
        <f t="shared" si="32"/>
        <v>1887.4690491249994</v>
      </c>
      <c r="J73" s="104">
        <f t="shared" si="33"/>
        <v>1727.329999343851</v>
      </c>
      <c r="K73" s="64">
        <f t="shared" si="34"/>
        <v>4400</v>
      </c>
      <c r="M73">
        <f t="shared" si="39"/>
        <v>7</v>
      </c>
      <c r="N73" s="10">
        <f t="shared" si="35"/>
        <v>0.0132</v>
      </c>
      <c r="P73" s="10">
        <f t="shared" si="36"/>
        <v>0.0084</v>
      </c>
      <c r="S73" s="1">
        <f t="shared" si="37"/>
        <v>28.076939754249988</v>
      </c>
      <c r="T73" s="1">
        <f>T72</f>
        <v>100.40105965000001</v>
      </c>
      <c r="U73" s="6">
        <f t="shared" si="38"/>
        <v>1.6666666666666667</v>
      </c>
    </row>
    <row r="74" spans="1:21" ht="15.75">
      <c r="A74" s="42" t="s">
        <v>83</v>
      </c>
      <c r="B74" s="46">
        <f t="shared" si="26"/>
        <v>-0.0240136690647482</v>
      </c>
      <c r="C74" s="47" t="s">
        <v>77</v>
      </c>
      <c r="D74" s="31">
        <f t="shared" si="27"/>
        <v>-89.188688</v>
      </c>
      <c r="E74" s="60">
        <f t="shared" si="28"/>
        <v>16.87520305350282</v>
      </c>
      <c r="F74" s="33">
        <f t="shared" si="29"/>
        <v>3344.575799999999</v>
      </c>
      <c r="G74" s="104">
        <f t="shared" si="30"/>
        <v>2929.868666778185</v>
      </c>
      <c r="H74" s="32">
        <f t="shared" si="31"/>
        <v>20.340733497119047</v>
      </c>
      <c r="I74" s="33">
        <f t="shared" si="32"/>
        <v>3589.6885365624994</v>
      </c>
      <c r="J74" s="104">
        <f t="shared" si="33"/>
        <v>3081.0274118127827</v>
      </c>
      <c r="K74" s="64">
        <f t="shared" si="34"/>
        <v>4400</v>
      </c>
      <c r="M74">
        <f t="shared" si="39"/>
        <v>8</v>
      </c>
      <c r="N74" s="10">
        <f t="shared" si="35"/>
        <v>-0.0277</v>
      </c>
      <c r="P74" s="10">
        <f t="shared" si="36"/>
        <v>-0.0155</v>
      </c>
      <c r="S74" s="1">
        <f t="shared" si="37"/>
        <v>73.991698333125</v>
      </c>
      <c r="T74" s="1">
        <f>D46</f>
        <v>98.045094625</v>
      </c>
      <c r="U74" s="6">
        <f t="shared" si="38"/>
        <v>1.6666666666666667</v>
      </c>
    </row>
    <row r="75" spans="1:21" ht="15.75">
      <c r="A75" s="42" t="s">
        <v>84</v>
      </c>
      <c r="B75" s="46">
        <f t="shared" si="26"/>
        <v>0.010566187050359714</v>
      </c>
      <c r="C75" s="47" t="s">
        <v>77</v>
      </c>
      <c r="D75" s="31">
        <f t="shared" si="27"/>
        <v>39.24366400000001</v>
      </c>
      <c r="E75" s="60">
        <f t="shared" si="28"/>
        <v>7.31050709118577</v>
      </c>
      <c r="F75" s="33">
        <f t="shared" si="29"/>
        <v>1471.6374</v>
      </c>
      <c r="G75" s="104">
        <f t="shared" si="30"/>
        <v>1386.612347098005</v>
      </c>
      <c r="H75" s="32">
        <f t="shared" si="31"/>
        <v>10.867175872258203</v>
      </c>
      <c r="I75" s="33">
        <f t="shared" si="32"/>
        <v>1716.7501365625</v>
      </c>
      <c r="J75" s="104">
        <f t="shared" si="33"/>
        <v>1582.0123140587655</v>
      </c>
      <c r="K75" s="64">
        <f t="shared" si="34"/>
        <v>4400</v>
      </c>
      <c r="M75">
        <f t="shared" si="39"/>
        <v>9</v>
      </c>
      <c r="N75" s="10">
        <f t="shared" si="35"/>
        <v>0.0125</v>
      </c>
      <c r="P75" s="10">
        <f t="shared" si="36"/>
        <v>0.0061</v>
      </c>
      <c r="S75" s="1">
        <f t="shared" si="37"/>
        <v>24.046674333125004</v>
      </c>
      <c r="T75" s="1">
        <f>T74</f>
        <v>98.045094625</v>
      </c>
      <c r="U75" s="6">
        <f t="shared" si="38"/>
        <v>1.6666666666666667</v>
      </c>
    </row>
    <row r="76" spans="1:21" ht="15.75">
      <c r="A76" s="42" t="s">
        <v>85</v>
      </c>
      <c r="B76" s="46">
        <f t="shared" si="26"/>
        <v>-0.013341007194244605</v>
      </c>
      <c r="C76" s="47" t="s">
        <v>77</v>
      </c>
      <c r="D76" s="31">
        <f t="shared" si="27"/>
        <v>-49.549568</v>
      </c>
      <c r="E76" s="60">
        <f t="shared" si="28"/>
        <v>9.25948959577822</v>
      </c>
      <c r="F76" s="33">
        <f t="shared" si="29"/>
        <v>1858.1087999999997</v>
      </c>
      <c r="G76" s="104">
        <f t="shared" si="30"/>
        <v>1724.1971629549619</v>
      </c>
      <c r="H76" s="32">
        <f t="shared" si="31"/>
        <v>10.901440092453079</v>
      </c>
      <c r="I76" s="33">
        <f t="shared" si="32"/>
        <v>1972.0776786249996</v>
      </c>
      <c r="J76" s="104">
        <f t="shared" si="33"/>
        <v>1810.9052140143897</v>
      </c>
      <c r="K76" s="64">
        <f t="shared" si="34"/>
        <v>4400</v>
      </c>
      <c r="M76">
        <f t="shared" si="39"/>
        <v>10</v>
      </c>
      <c r="N76" s="10">
        <f t="shared" si="35"/>
        <v>-0.016</v>
      </c>
      <c r="P76" s="10">
        <f t="shared" si="36"/>
        <v>-0.0072</v>
      </c>
      <c r="S76" s="1">
        <f t="shared" si="37"/>
        <v>42.48349752525001</v>
      </c>
      <c r="T76" s="1">
        <f>D47</f>
        <v>45.58755144999999</v>
      </c>
      <c r="U76" s="6">
        <f t="shared" si="38"/>
        <v>1.6666666666666667</v>
      </c>
    </row>
    <row r="77" spans="1:21" ht="15.75">
      <c r="A77" s="42" t="s">
        <v>86</v>
      </c>
      <c r="B77" s="46">
        <f t="shared" si="26"/>
        <v>0.0045007194244604315</v>
      </c>
      <c r="C77" s="47" t="s">
        <v>77</v>
      </c>
      <c r="D77" s="31">
        <f t="shared" si="27"/>
        <v>16.716032</v>
      </c>
      <c r="E77" s="60">
        <f t="shared" si="28"/>
        <v>3.0928782690246392</v>
      </c>
      <c r="F77" s="33">
        <f t="shared" si="29"/>
        <v>626.8511999999998</v>
      </c>
      <c r="G77" s="104">
        <f t="shared" si="30"/>
        <v>611.0004896288721</v>
      </c>
      <c r="H77" s="32">
        <f t="shared" si="31"/>
        <v>4.761311948166919</v>
      </c>
      <c r="I77" s="33">
        <f t="shared" si="32"/>
        <v>740.8200786249998</v>
      </c>
      <c r="J77" s="104">
        <f t="shared" si="33"/>
        <v>714.2759454251334</v>
      </c>
      <c r="K77" s="64">
        <f t="shared" si="34"/>
        <v>4253.390903011528</v>
      </c>
      <c r="M77">
        <f t="shared" si="39"/>
        <v>11</v>
      </c>
      <c r="N77" s="10">
        <f t="shared" si="35"/>
        <v>0.0058</v>
      </c>
      <c r="P77" s="10">
        <f t="shared" si="36"/>
        <v>0.0015</v>
      </c>
      <c r="S77" s="1">
        <f t="shared" si="37"/>
        <v>9.64996152525</v>
      </c>
      <c r="T77" s="1">
        <f>T76</f>
        <v>45.58755144999999</v>
      </c>
      <c r="U77" s="6">
        <f t="shared" si="38"/>
        <v>1.611132917807397</v>
      </c>
    </row>
    <row r="78" spans="1:21" ht="12.75">
      <c r="A78" s="42"/>
      <c r="B78" s="46"/>
      <c r="C78" s="47"/>
      <c r="D78" s="31"/>
      <c r="E78" s="60"/>
      <c r="F78" s="33"/>
      <c r="G78" s="104"/>
      <c r="H78" s="32"/>
      <c r="I78" s="33"/>
      <c r="J78" s="50"/>
      <c r="K78" s="65"/>
      <c r="M78">
        <f t="shared" si="39"/>
        <v>12</v>
      </c>
      <c r="N78" s="10"/>
      <c r="P78" s="10"/>
      <c r="U78" s="6"/>
    </row>
    <row r="79" spans="1:21" ht="15.75">
      <c r="A79" s="42" t="s">
        <v>87</v>
      </c>
      <c r="B79" s="46">
        <f aca="true" t="shared" si="40" ref="B79:B85">N79+(P79-N79)/(P$66-N$66)*(B$60-N$66)</f>
        <v>0.003559712230215827</v>
      </c>
      <c r="C79" s="47" t="s">
        <v>88</v>
      </c>
      <c r="D79" s="31">
        <f aca="true" t="shared" si="41" ref="D79:D85">B79*B$19*B$59^2</f>
        <v>9.978282147499998</v>
      </c>
      <c r="E79" s="60">
        <f aca="true" t="shared" si="42" ref="E79:E85">(ABS($D79))/1000/$J$8/(($J$6-$J$9)*(1-(1.5/3*(1-SQRT(1-8/3*ABS($D79/1000/($J$6-$J$9)^2/$D$10))))))*10000</f>
        <v>1.8425326634001815</v>
      </c>
      <c r="F79" s="33">
        <f aca="true" t="shared" si="43" ref="F79:F85">ABS(D79*6/$J$6^2)</f>
        <v>374.18558053124985</v>
      </c>
      <c r="G79" s="104">
        <f aca="true" t="shared" si="44" ref="G79:G85">ABS($D79/($J$6^2/6+1.33*E79*10^-4*($J$6/2-$J$9)^2*14*2/$J$6))</f>
        <v>368.4906812188829</v>
      </c>
      <c r="H79" s="32"/>
      <c r="I79" s="33"/>
      <c r="J79" s="50"/>
      <c r="K79" s="64">
        <f aca="true" t="shared" si="45" ref="K79:K85">1.1*U79*(0.06*$D$9+0.6)*1000</f>
        <v>4400</v>
      </c>
      <c r="M79">
        <f t="shared" si="39"/>
        <v>13</v>
      </c>
      <c r="N79" s="10">
        <f aca="true" t="shared" si="46" ref="N79:N85">HLOOKUP(N$66,P1_1.96,$M79)</f>
        <v>0.0022</v>
      </c>
      <c r="P79" s="10">
        <f aca="true" t="shared" si="47" ref="P79:P85">HLOOKUP(P$66,P1_1.96,$M79)</f>
        <v>0.0067</v>
      </c>
      <c r="U79" s="6">
        <f aca="true" t="shared" si="48" ref="U79:U85">IF(T79&gt;0,IF(ABS(D79)/T79&lt;$J$6,1+(2*ABS(D79)/T79)/(3*$J$6),5/3),5/3)</f>
        <v>1.6666666666666667</v>
      </c>
    </row>
    <row r="80" spans="1:21" ht="15.75">
      <c r="A80" s="42" t="s">
        <v>89</v>
      </c>
      <c r="B80" s="46">
        <f t="shared" si="40"/>
        <v>0.009084892086330934</v>
      </c>
      <c r="C80" s="47" t="s">
        <v>88</v>
      </c>
      <c r="D80" s="31">
        <f t="shared" si="41"/>
        <v>25.4659957475</v>
      </c>
      <c r="E80" s="60">
        <f t="shared" si="42"/>
        <v>4.724200201249129</v>
      </c>
      <c r="F80" s="33">
        <f t="shared" si="43"/>
        <v>954.9748405312497</v>
      </c>
      <c r="G80" s="104">
        <f t="shared" si="44"/>
        <v>918.5759852098769</v>
      </c>
      <c r="H80" s="32"/>
      <c r="I80" s="33"/>
      <c r="J80" s="50"/>
      <c r="K80" s="64">
        <f t="shared" si="45"/>
        <v>4400</v>
      </c>
      <c r="M80">
        <f t="shared" si="39"/>
        <v>14</v>
      </c>
      <c r="N80" s="10">
        <f t="shared" si="46"/>
        <v>0.007</v>
      </c>
      <c r="P80" s="10">
        <f t="shared" si="47"/>
        <v>0.0139</v>
      </c>
      <c r="U80" s="6">
        <f t="shared" si="48"/>
        <v>1.6666666666666667</v>
      </c>
    </row>
    <row r="81" spans="1:21" ht="15.75">
      <c r="A81" s="42" t="s">
        <v>90</v>
      </c>
      <c r="B81" s="46">
        <f t="shared" si="40"/>
        <v>0.01157841726618705</v>
      </c>
      <c r="C81" s="47" t="s">
        <v>88</v>
      </c>
      <c r="D81" s="31">
        <f t="shared" si="41"/>
        <v>32.455633161250006</v>
      </c>
      <c r="E81" s="60">
        <f t="shared" si="42"/>
        <v>6.03355500053177</v>
      </c>
      <c r="F81" s="33">
        <f t="shared" si="43"/>
        <v>1217.086243546875</v>
      </c>
      <c r="G81" s="104">
        <f t="shared" si="44"/>
        <v>1158.4591524724465</v>
      </c>
      <c r="H81" s="32"/>
      <c r="I81" s="33"/>
      <c r="J81" s="50"/>
      <c r="K81" s="64">
        <f t="shared" si="45"/>
        <v>4400</v>
      </c>
      <c r="M81">
        <f t="shared" si="39"/>
        <v>15</v>
      </c>
      <c r="N81" s="10">
        <f t="shared" si="46"/>
        <v>0.0104</v>
      </c>
      <c r="P81" s="10">
        <f t="shared" si="47"/>
        <v>0.0143</v>
      </c>
      <c r="U81" s="6">
        <f t="shared" si="48"/>
        <v>1.6666666666666667</v>
      </c>
    </row>
    <row r="82" spans="1:21" ht="15.75">
      <c r="A82" s="42" t="s">
        <v>91</v>
      </c>
      <c r="B82" s="46">
        <f t="shared" si="40"/>
        <v>0.004267625899280576</v>
      </c>
      <c r="C82" s="47" t="s">
        <v>88</v>
      </c>
      <c r="D82" s="31">
        <f t="shared" si="41"/>
        <v>11.962645452500002</v>
      </c>
      <c r="E82" s="60">
        <f t="shared" si="42"/>
        <v>2.210255062953792</v>
      </c>
      <c r="F82" s="33">
        <f t="shared" si="43"/>
        <v>448.59920446875003</v>
      </c>
      <c r="G82" s="104">
        <f t="shared" si="44"/>
        <v>440.43399054578606</v>
      </c>
      <c r="H82" s="32"/>
      <c r="I82" s="33"/>
      <c r="J82" s="50"/>
      <c r="K82" s="64">
        <f t="shared" si="45"/>
        <v>4400</v>
      </c>
      <c r="M82">
        <f t="shared" si="39"/>
        <v>16</v>
      </c>
      <c r="N82" s="10">
        <f t="shared" si="46"/>
        <v>0.0046</v>
      </c>
      <c r="P82" s="10">
        <f t="shared" si="47"/>
        <v>0.0035</v>
      </c>
      <c r="U82" s="6">
        <f t="shared" si="48"/>
        <v>1.6666666666666667</v>
      </c>
    </row>
    <row r="83" spans="1:21" ht="15.75">
      <c r="A83" s="42" t="s">
        <v>92</v>
      </c>
      <c r="B83" s="46">
        <f t="shared" si="40"/>
        <v>-0.03163597122302158</v>
      </c>
      <c r="C83" s="47" t="s">
        <v>88</v>
      </c>
      <c r="D83" s="31">
        <f t="shared" si="41"/>
        <v>-88.67926013625</v>
      </c>
      <c r="E83" s="60">
        <f t="shared" si="42"/>
        <v>16.776087624376924</v>
      </c>
      <c r="F83" s="33">
        <f t="shared" si="43"/>
        <v>3325.472255109374</v>
      </c>
      <c r="G83" s="104">
        <f t="shared" si="44"/>
        <v>2915.2569413412775</v>
      </c>
      <c r="H83" s="32"/>
      <c r="I83" s="33"/>
      <c r="J83" s="50"/>
      <c r="K83" s="64">
        <f t="shared" si="45"/>
        <v>4400</v>
      </c>
      <c r="M83">
        <f t="shared" si="39"/>
        <v>17</v>
      </c>
      <c r="N83" s="10">
        <f t="shared" si="46"/>
        <v>-0.0252</v>
      </c>
      <c r="P83" s="10">
        <f t="shared" si="47"/>
        <v>-0.0465</v>
      </c>
      <c r="U83" s="6">
        <f t="shared" si="48"/>
        <v>1.6666666666666667</v>
      </c>
    </row>
    <row r="84" spans="1:21" ht="15.75">
      <c r="A84" s="42" t="s">
        <v>93</v>
      </c>
      <c r="B84" s="46">
        <f t="shared" si="40"/>
        <v>-0.037861151079136686</v>
      </c>
      <c r="C84" s="47" t="s">
        <v>88</v>
      </c>
      <c r="D84" s="31">
        <f t="shared" si="41"/>
        <v>-106.12915411812499</v>
      </c>
      <c r="E84" s="60">
        <f t="shared" si="42"/>
        <v>20.190270418447415</v>
      </c>
      <c r="F84" s="33">
        <f t="shared" si="43"/>
        <v>3979.8432794296864</v>
      </c>
      <c r="G84" s="104">
        <f t="shared" si="44"/>
        <v>3403.4648146098575</v>
      </c>
      <c r="H84" s="32"/>
      <c r="I84" s="33"/>
      <c r="J84" s="50"/>
      <c r="K84" s="64">
        <f t="shared" si="45"/>
        <v>4400</v>
      </c>
      <c r="M84">
        <f t="shared" si="39"/>
        <v>18</v>
      </c>
      <c r="N84" s="10">
        <f t="shared" si="46"/>
        <v>-0.0307</v>
      </c>
      <c r="P84" s="10">
        <f t="shared" si="47"/>
        <v>-0.0544</v>
      </c>
      <c r="U84" s="6">
        <f t="shared" si="48"/>
        <v>1.6666666666666667</v>
      </c>
    </row>
    <row r="85" spans="1:21" ht="15.75">
      <c r="A85" s="42" t="s">
        <v>94</v>
      </c>
      <c r="B85" s="46">
        <f t="shared" si="40"/>
        <v>-0.04032589928057554</v>
      </c>
      <c r="C85" s="47" t="s">
        <v>88</v>
      </c>
      <c r="D85" s="31">
        <f t="shared" si="41"/>
        <v>-113.03812635687501</v>
      </c>
      <c r="E85" s="60">
        <f t="shared" si="42"/>
        <v>21.553098391364674</v>
      </c>
      <c r="F85" s="33">
        <f t="shared" si="43"/>
        <v>4238.9297383828125</v>
      </c>
      <c r="G85" s="104">
        <f t="shared" si="44"/>
        <v>3589.9356758815957</v>
      </c>
      <c r="H85" s="32"/>
      <c r="I85" s="33"/>
      <c r="J85" s="50"/>
      <c r="K85" s="64">
        <f t="shared" si="45"/>
        <v>4400</v>
      </c>
      <c r="M85">
        <f aca="true" t="shared" si="49" ref="M85:M96">M84+1</f>
        <v>19</v>
      </c>
      <c r="N85" s="10">
        <f t="shared" si="46"/>
        <v>-0.0325</v>
      </c>
      <c r="P85" s="10">
        <f t="shared" si="47"/>
        <v>-0.0584</v>
      </c>
      <c r="U85" s="6">
        <f t="shared" si="48"/>
        <v>1.6666666666666667</v>
      </c>
    </row>
    <row r="86" spans="1:16" ht="12.75">
      <c r="A86" s="42"/>
      <c r="B86" s="46"/>
      <c r="C86" s="47"/>
      <c r="D86" s="31"/>
      <c r="E86" s="60"/>
      <c r="F86" s="33"/>
      <c r="G86" s="34">
        <f>IF(ABS($D86)&gt;$J$10,"--&gt; As comprimés requis","")</f>
      </c>
      <c r="H86" s="32"/>
      <c r="I86" s="33"/>
      <c r="J86" s="50"/>
      <c r="K86" s="65"/>
      <c r="M86">
        <f t="shared" si="49"/>
        <v>20</v>
      </c>
      <c r="N86" s="10"/>
      <c r="P86" s="10"/>
    </row>
    <row r="87" spans="1:16" ht="15.75">
      <c r="A87" s="42" t="s">
        <v>95</v>
      </c>
      <c r="B87" s="46">
        <f aca="true" t="shared" si="50" ref="B87:B92">N87+(P87-N87)/(P$66-N$66)*(B$60-N$66)</f>
        <v>0.04411223021582733</v>
      </c>
      <c r="C87" s="47" t="s">
        <v>96</v>
      </c>
      <c r="D87" s="31">
        <f aca="true" t="shared" si="51" ref="D87:D92">B87*B$19*B$58</f>
        <v>20.479543999999997</v>
      </c>
      <c r="E87" s="61"/>
      <c r="F87" s="55"/>
      <c r="G87" s="56"/>
      <c r="H87" s="32"/>
      <c r="I87" s="33"/>
      <c r="J87" s="50"/>
      <c r="K87" s="65"/>
      <c r="M87">
        <f t="shared" si="49"/>
        <v>21</v>
      </c>
      <c r="N87" s="10">
        <f aca="true" t="shared" si="52" ref="N87:N92">HLOOKUP(N$66,P1_1.96,$M87)</f>
        <v>0.0326</v>
      </c>
      <c r="P87" s="10">
        <f aca="true" t="shared" si="53" ref="P87:P92">HLOOKUP(P$66,P1_1.96,$M87)</f>
        <v>0.0707</v>
      </c>
    </row>
    <row r="88" spans="1:16" ht="15.75">
      <c r="A88" s="42" t="s">
        <v>97</v>
      </c>
      <c r="B88" s="46">
        <f t="shared" si="50"/>
        <v>0.1335546762589928</v>
      </c>
      <c r="C88" s="47" t="s">
        <v>96</v>
      </c>
      <c r="D88" s="31">
        <f t="shared" si="51"/>
        <v>62.004094</v>
      </c>
      <c r="E88" s="61"/>
      <c r="F88" s="55"/>
      <c r="G88" s="56"/>
      <c r="H88" s="32"/>
      <c r="I88" s="33"/>
      <c r="J88" s="50"/>
      <c r="K88" s="65"/>
      <c r="M88">
        <f t="shared" si="49"/>
        <v>22</v>
      </c>
      <c r="N88" s="10">
        <f t="shared" si="52"/>
        <v>0.1315</v>
      </c>
      <c r="P88" s="10">
        <f t="shared" si="53"/>
        <v>0.1383</v>
      </c>
    </row>
    <row r="89" spans="1:16" ht="15.75">
      <c r="A89" s="42" t="s">
        <v>98</v>
      </c>
      <c r="B89" s="46">
        <f t="shared" si="50"/>
        <v>0.18608057553956833</v>
      </c>
      <c r="C89" s="47" t="s">
        <v>96</v>
      </c>
      <c r="D89" s="31">
        <f t="shared" si="51"/>
        <v>86.38976799999999</v>
      </c>
      <c r="E89" s="61"/>
      <c r="F89" s="55"/>
      <c r="G89" s="56"/>
      <c r="H89" s="32"/>
      <c r="I89" s="33"/>
      <c r="J89" s="50"/>
      <c r="K89" s="65"/>
      <c r="M89">
        <f t="shared" si="49"/>
        <v>23</v>
      </c>
      <c r="N89" s="10">
        <f t="shared" si="52"/>
        <v>0.1972</v>
      </c>
      <c r="P89" s="10">
        <f t="shared" si="53"/>
        <v>0.1604</v>
      </c>
    </row>
    <row r="90" spans="1:16" ht="15.75">
      <c r="A90" s="42" t="s">
        <v>99</v>
      </c>
      <c r="B90" s="46">
        <f t="shared" si="50"/>
        <v>0.220163309352518</v>
      </c>
      <c r="C90" s="47" t="s">
        <v>96</v>
      </c>
      <c r="D90" s="31">
        <f t="shared" si="51"/>
        <v>102.213018</v>
      </c>
      <c r="E90" s="61"/>
      <c r="F90" s="55"/>
      <c r="G90" s="56"/>
      <c r="H90" s="32"/>
      <c r="I90" s="33"/>
      <c r="J90" s="50"/>
      <c r="K90" s="65"/>
      <c r="M90">
        <f t="shared" si="49"/>
        <v>24</v>
      </c>
      <c r="N90" s="10">
        <f t="shared" si="52"/>
        <v>0.2421</v>
      </c>
      <c r="P90" s="10">
        <f t="shared" si="53"/>
        <v>0.1695</v>
      </c>
    </row>
    <row r="91" spans="1:16" ht="15.75">
      <c r="A91" s="42" t="s">
        <v>100</v>
      </c>
      <c r="B91" s="46">
        <f t="shared" si="50"/>
        <v>0.1390654676258993</v>
      </c>
      <c r="C91" s="47" t="s">
        <v>96</v>
      </c>
      <c r="D91" s="31">
        <f t="shared" si="51"/>
        <v>64.56253400000001</v>
      </c>
      <c r="E91" s="61"/>
      <c r="F91" s="55"/>
      <c r="G91" s="56"/>
      <c r="H91" s="32"/>
      <c r="I91" s="33"/>
      <c r="J91" s="50"/>
      <c r="K91" s="65"/>
      <c r="M91">
        <f t="shared" si="49"/>
        <v>25</v>
      </c>
      <c r="N91" s="10">
        <f t="shared" si="52"/>
        <v>0.1607</v>
      </c>
      <c r="P91" s="10">
        <f t="shared" si="53"/>
        <v>0.0891</v>
      </c>
    </row>
    <row r="92" spans="1:16" ht="15.75">
      <c r="A92" s="42" t="s">
        <v>101</v>
      </c>
      <c r="B92" s="46">
        <f t="shared" si="50"/>
        <v>-0.007098561151079135</v>
      </c>
      <c r="C92" s="47" t="s">
        <v>96</v>
      </c>
      <c r="D92" s="31">
        <f t="shared" si="51"/>
        <v>-3.295577999999999</v>
      </c>
      <c r="E92" s="60"/>
      <c r="F92" s="33"/>
      <c r="G92" s="50"/>
      <c r="H92" s="32"/>
      <c r="I92" s="33"/>
      <c r="J92" s="50"/>
      <c r="K92" s="65"/>
      <c r="M92">
        <f t="shared" si="49"/>
        <v>26</v>
      </c>
      <c r="N92" s="10">
        <f t="shared" si="52"/>
        <v>-0.0045</v>
      </c>
      <c r="P92" s="10">
        <f t="shared" si="53"/>
        <v>-0.0131</v>
      </c>
    </row>
    <row r="93" spans="1:16" ht="12.75">
      <c r="A93" s="93"/>
      <c r="B93" s="94"/>
      <c r="C93" s="95"/>
      <c r="D93" s="96"/>
      <c r="E93" s="61"/>
      <c r="F93" s="55"/>
      <c r="G93" s="56"/>
      <c r="H93" s="97"/>
      <c r="I93" s="55"/>
      <c r="J93" s="98"/>
      <c r="K93" s="99"/>
      <c r="M93">
        <f t="shared" si="49"/>
        <v>27</v>
      </c>
      <c r="N93" s="10"/>
      <c r="P93" s="10"/>
    </row>
    <row r="94" spans="1:16" ht="15.75">
      <c r="A94" s="93" t="s">
        <v>102</v>
      </c>
      <c r="B94" s="94">
        <f>N94+(P94-N94)/(P$66-N$66)*(B$60-N$66)</f>
        <v>0.2939820143884892</v>
      </c>
      <c r="C94" s="95" t="s">
        <v>103</v>
      </c>
      <c r="D94" s="96">
        <f>B94*B$19*B$59</f>
        <v>118.57055318749998</v>
      </c>
      <c r="E94" s="61"/>
      <c r="F94" s="55"/>
      <c r="G94" s="56"/>
      <c r="H94" s="97"/>
      <c r="I94" s="55"/>
      <c r="J94" s="98"/>
      <c r="K94" s="99"/>
      <c r="M94">
        <f t="shared" si="49"/>
        <v>28</v>
      </c>
      <c r="N94" s="10">
        <f>HLOOKUP(N$66,P1_1.96,$M94)</f>
        <v>0.2699</v>
      </c>
      <c r="P94" s="10">
        <f>HLOOKUP(P$66,P1_1.96,$M94)</f>
        <v>0.3496</v>
      </c>
    </row>
    <row r="95" spans="1:16" ht="15.75">
      <c r="A95" s="93" t="s">
        <v>104</v>
      </c>
      <c r="B95" s="94">
        <f>N95+(P95-N95)/(P$66-N$66)*(B$60-N$66)</f>
        <v>0.33542589928057553</v>
      </c>
      <c r="C95" s="95" t="s">
        <v>103</v>
      </c>
      <c r="D95" s="96">
        <f>B95*B$19*B$59</f>
        <v>135.285944325</v>
      </c>
      <c r="E95" s="61"/>
      <c r="F95" s="55"/>
      <c r="G95" s="56"/>
      <c r="H95" s="97"/>
      <c r="I95" s="55"/>
      <c r="J95" s="98"/>
      <c r="K95" s="99"/>
      <c r="M95">
        <f t="shared" si="49"/>
        <v>29</v>
      </c>
      <c r="N95" s="10">
        <f>HLOOKUP(N$66,P1_1.96,$M95)</f>
        <v>0.3108</v>
      </c>
      <c r="P95" s="10">
        <f>HLOOKUP(P$66,P1_1.96,$M95)</f>
        <v>0.3923</v>
      </c>
    </row>
    <row r="96" spans="1:16" ht="16.5" thickBot="1">
      <c r="A96" s="43" t="s">
        <v>105</v>
      </c>
      <c r="B96" s="48">
        <f>N96+(P96-N96)/(P$66-N$66)*(B$60-N$66)</f>
        <v>0.348346762589928</v>
      </c>
      <c r="C96" s="49" t="s">
        <v>103</v>
      </c>
      <c r="D96" s="35">
        <f>B96*B$19*B$59</f>
        <v>140.497262825</v>
      </c>
      <c r="E96" s="62"/>
      <c r="F96" s="37"/>
      <c r="G96" s="51"/>
      <c r="H96" s="36"/>
      <c r="I96" s="37"/>
      <c r="J96" s="51"/>
      <c r="K96" s="66"/>
      <c r="M96">
        <f t="shared" si="49"/>
        <v>30</v>
      </c>
      <c r="N96" s="10">
        <f>HLOOKUP(N$66,P1_1.96,$M96)</f>
        <v>0.3236</v>
      </c>
      <c r="P96" s="10">
        <f>HLOOKUP(P$66,P1_1.96,$M96)</f>
        <v>0.4055</v>
      </c>
    </row>
    <row r="97" spans="5:16" ht="12.75">
      <c r="E97"/>
      <c r="M97" s="18"/>
      <c r="N97" s="19"/>
      <c r="O97" s="18"/>
      <c r="P97" s="19"/>
    </row>
    <row r="98" spans="5:16" ht="12.75">
      <c r="E98"/>
      <c r="M98" s="18"/>
      <c r="N98" s="19"/>
      <c r="O98" s="18"/>
      <c r="P98" s="19"/>
    </row>
    <row r="99" spans="5:16" ht="12.75">
      <c r="E99"/>
      <c r="M99" s="18"/>
      <c r="N99" s="19"/>
      <c r="O99" s="18"/>
      <c r="P99" s="19"/>
    </row>
    <row r="100" spans="5:16" ht="12.75">
      <c r="E100"/>
      <c r="M100" s="18"/>
      <c r="N100" s="19"/>
      <c r="O100" s="18"/>
      <c r="P100" s="19"/>
    </row>
    <row r="102" ht="12.75">
      <c r="A102" s="23" t="s">
        <v>107</v>
      </c>
    </row>
    <row r="103" ht="12.75">
      <c r="A103" t="s">
        <v>108</v>
      </c>
    </row>
    <row r="106" ht="12.75">
      <c r="A106" s="3" t="s">
        <v>109</v>
      </c>
    </row>
    <row r="107" ht="12.75">
      <c r="G107" s="4"/>
    </row>
    <row r="108" ht="12.75">
      <c r="G108" s="4"/>
    </row>
    <row r="109" spans="7:9" ht="14.25">
      <c r="G109" s="4" t="s">
        <v>110</v>
      </c>
      <c r="H109" s="1">
        <f>$B$19</f>
        <v>58.0325</v>
      </c>
      <c r="I109" t="s">
        <v>60</v>
      </c>
    </row>
    <row r="110" ht="12.75"/>
    <row r="111" ht="12.75"/>
    <row r="112" ht="12.75"/>
    <row r="113" ht="12.75"/>
    <row r="114" ht="12.75"/>
    <row r="115" spans="4:6" ht="12.75">
      <c r="D115" s="4"/>
      <c r="F115" s="4"/>
    </row>
    <row r="116" spans="4:9" ht="12.75">
      <c r="D116" s="4"/>
      <c r="F116" s="4"/>
      <c r="I116" s="75"/>
    </row>
    <row r="117" spans="7:8" ht="13.5" thickBot="1">
      <c r="G117" s="4"/>
      <c r="H117" s="100"/>
    </row>
    <row r="118" spans="5:10" ht="13.5" thickBot="1">
      <c r="E118" s="57" t="s">
        <v>64</v>
      </c>
      <c r="F118" s="58"/>
      <c r="G118" s="59"/>
      <c r="H118" s="57" t="s">
        <v>65</v>
      </c>
      <c r="I118" s="58"/>
      <c r="J118" s="59"/>
    </row>
    <row r="119" spans="1:21" s="112" customFormat="1" ht="26.25" thickBot="1">
      <c r="A119" s="71" t="s">
        <v>111</v>
      </c>
      <c r="B119" s="67" t="s">
        <v>112</v>
      </c>
      <c r="C119" s="74" t="s">
        <v>113</v>
      </c>
      <c r="D119" s="119" t="s">
        <v>114</v>
      </c>
      <c r="E119" s="71" t="s">
        <v>67</v>
      </c>
      <c r="F119" s="72" t="s">
        <v>68</v>
      </c>
      <c r="G119" s="73" t="s">
        <v>69</v>
      </c>
      <c r="H119" s="74" t="s">
        <v>67</v>
      </c>
      <c r="I119" s="72" t="s">
        <v>68</v>
      </c>
      <c r="J119" s="72" t="s">
        <v>69</v>
      </c>
      <c r="K119" s="120" t="s">
        <v>70</v>
      </c>
      <c r="S119" s="74" t="s">
        <v>73</v>
      </c>
      <c r="T119" s="113"/>
      <c r="U119" s="78" t="s">
        <v>75</v>
      </c>
    </row>
    <row r="120" spans="1:21" ht="12.75">
      <c r="A120" s="114">
        <v>26</v>
      </c>
      <c r="B120" s="31">
        <f>$D39</f>
        <v>-187.93574134437497</v>
      </c>
      <c r="C120" s="31">
        <f>$D50</f>
        <v>161.604843725</v>
      </c>
      <c r="D120" s="115">
        <f>2*SQRT(ABS(B120/$H$109))</f>
        <v>3.599142536771779</v>
      </c>
      <c r="E120" s="60">
        <f>(ABS($B120))/1000/$J$8/(($J$7-$J$9)*(1-(1.5/3*(1-SQRT(1-8/3*ABS($B120/1000/($J$7-$J$9)^2/$D$10))))))*10000</f>
        <v>31.738800708968107</v>
      </c>
      <c r="F120" s="33">
        <f>ABS($B120*6/$J$5^2)</f>
        <v>5568.466410203703</v>
      </c>
      <c r="G120" s="104">
        <f>ABS(B120/($J$7^2/6+1.33*E120*10^-4*($J$7/2-$J$9)^2*14*2/$J$7))</f>
        <v>4447.124216134611</v>
      </c>
      <c r="H120" s="32">
        <f>(ABS($S120))/1000/$J$8/(($J$7-$J$9)*(1-(1.5/3*(1-SQRT(1-8/3*ABS($S120/1000/($J$7-$J$9)^2/$D$10))))))*10000+$C120/$J$8*10</f>
        <v>37.18935038304251</v>
      </c>
      <c r="I120" s="33">
        <f>ABS($B120*6/$J$5^2)+C120/$J$5</f>
        <v>5927.588285148147</v>
      </c>
      <c r="J120" s="33">
        <f>ABS(B120/($J$7^2/6+1.33*H120*10^-4*($J$7/2-$J$9)^2*14*2/$J$7))+C120/($J$7+1.33*H120*10^-4*14)</f>
        <v>4609.703120176642</v>
      </c>
      <c r="K120" s="64">
        <f>1.1*U120*(0.06*$D$9+0.6)*1000</f>
        <v>4400</v>
      </c>
      <c r="S120" s="1">
        <f>C120*(ABS(B120)/C120-$J$7/2+$J$9)</f>
        <v>158.84686947387496</v>
      </c>
      <c r="T120" s="1"/>
      <c r="U120" s="6">
        <f>IF(C120&gt;0,IF(ABS(B120)/C120&lt;$J$5/2,1+(2*ABS(B120)/C120)/(3*$J$5),5/3),5/3)</f>
        <v>1.6666666666666667</v>
      </c>
    </row>
    <row r="121" spans="1:21" ht="12.75">
      <c r="A121" s="114">
        <v>27</v>
      </c>
      <c r="B121" s="31">
        <f>$D40</f>
        <v>-221.17584333250002</v>
      </c>
      <c r="C121" s="31">
        <f>$D51</f>
        <v>178.52276828749999</v>
      </c>
      <c r="D121" s="115">
        <f>2*SQRT(ABS(B121/$H$109))</f>
        <v>3.904479990984715</v>
      </c>
      <c r="E121" s="60">
        <f>(ABS($B121))/1000/$J$8/(($J$7-$J$9)*(1-(1.5/3*(1-SQRT(1-8/3*ABS($B121/1000/($J$7-$J$9)^2/$D$10))))))*10000</f>
        <v>37.68022311242913</v>
      </c>
      <c r="F121" s="33">
        <f>ABS($B121*6/$J$5^2)</f>
        <v>6553.358320962963</v>
      </c>
      <c r="G121" s="104">
        <f>ABS(B121/($J$7^2/6+1.33*E121*10^-4*($J$7/2-$J$9)^2*14*2/$J$7))</f>
        <v>5043.559703262963</v>
      </c>
      <c r="H121" s="32">
        <f>(ABS($S121))/1000/$J$8/(($J$7-$J$9)*(1-(1.5/3*(1-SQRT(1-8/3*ABS($S121/1000/($J$7-$J$9)^2/$D$10))))))*10000+$C121/$J$8*10</f>
        <v>43.60290083076152</v>
      </c>
      <c r="I121" s="33">
        <f>ABS($B121*6/$J$5^2)+C121/$J$5</f>
        <v>6950.075583824075</v>
      </c>
      <c r="J121" s="33">
        <f>ABS(B121/($J$7^2/6+1.33*H121*10^-4*($J$7/2-$J$9)^2*14*2/$J$7))+C121/($J$7+1.33*H121*10^-4*14)</f>
        <v>5203.3837272142155</v>
      </c>
      <c r="K121" s="64">
        <f>1.1*U121*(0.06*$D$9+0.6)*1000</f>
        <v>4400</v>
      </c>
      <c r="S121" s="1">
        <f>C121*(ABS(B121)/C121-$J$7/2+$J$9)</f>
        <v>189.04174504075</v>
      </c>
      <c r="U121" s="6">
        <f>IF(C121&gt;0,IF(ABS(B121)/C121&lt;$J$5/2,1+(2*ABS(B121)/C121)/(3*$J$5),5/3),5/3)</f>
        <v>1.6666666666666667</v>
      </c>
    </row>
    <row r="122" spans="1:21" ht="13.5" thickBot="1">
      <c r="A122" s="116">
        <v>28</v>
      </c>
      <c r="B122" s="35">
        <f>$D41</f>
        <v>-232.65248110562501</v>
      </c>
      <c r="C122" s="35">
        <f>$D52</f>
        <v>183.65661339999997</v>
      </c>
      <c r="D122" s="117">
        <f>2*SQRT(ABS(B122/$H$109))</f>
        <v>4.004499094768283</v>
      </c>
      <c r="E122" s="62">
        <f>(ABS($B122))/1000/$J$8/(($J$7-$J$9)*(1-(1.5/3*(1-SQRT(1-8/3*ABS($B122/1000/($J$7-$J$9)^2/$D$10))))))*10000</f>
        <v>39.75739907690079</v>
      </c>
      <c r="F122" s="37">
        <f>ABS($B122*6/$J$5^2)</f>
        <v>6893.406847574074</v>
      </c>
      <c r="G122" s="118">
        <f>ABS(B122/($J$7^2/6+1.33*E122*10^-4*($J$7/2-$J$9)^2*14*2/$J$7))</f>
        <v>5238.73236753851</v>
      </c>
      <c r="H122" s="36">
        <f>(ABS($S122))/1000/$J$8/(($J$7-$J$9)*(1-(1.5/3*(1-SQRT(1-8/3*ABS($S122/1000/($J$7-$J$9)^2/$D$10))))))*10000+$C122/$J$8*10</f>
        <v>45.813957302594225</v>
      </c>
      <c r="I122" s="37">
        <f>ABS($B122*6/$J$5^2)+C122/$J$5</f>
        <v>7301.532655129629</v>
      </c>
      <c r="J122" s="37">
        <f>ABS(B122/($J$7^2/6+1.33*H122*10^-4*($J$7/2-$J$9)^2*14*2/$J$7))+C122/($J$7+1.33*H122*10^-4*14)</f>
        <v>5397.014020836739</v>
      </c>
      <c r="K122" s="121">
        <f>1.1*U122*(0.06*$D$9+0.6)*1000</f>
        <v>4400</v>
      </c>
      <c r="S122" s="1">
        <f>C122*(ABS(B122)/C122-$J$7/2+$J$9)</f>
        <v>199.594290693625</v>
      </c>
      <c r="U122" s="6">
        <f>IF(C122&gt;0,IF(ABS(B122)/C122&lt;$J$5/2,1+(2*ABS(B122)/C122)/(3*$J$5),5/3),5/3)</f>
        <v>1.6666666666666667</v>
      </c>
    </row>
    <row r="123" spans="7:8" ht="12.75">
      <c r="G123" s="4"/>
      <c r="H123" s="100"/>
    </row>
    <row r="124" spans="7:8" ht="12.75">
      <c r="G124" s="4"/>
      <c r="H124" s="100"/>
    </row>
    <row r="125" spans="7:8" ht="12.75">
      <c r="G125" s="4"/>
      <c r="H125" s="100"/>
    </row>
    <row r="126" spans="7:8" ht="12.75">
      <c r="G126" s="4"/>
      <c r="H126" s="100"/>
    </row>
    <row r="128" ht="12.75">
      <c r="A128" s="3" t="s">
        <v>115</v>
      </c>
    </row>
    <row r="131" ht="13.5" thickBot="1"/>
    <row r="132" spans="5:10" ht="13.5" thickBot="1">
      <c r="E132" s="57" t="s">
        <v>64</v>
      </c>
      <c r="F132" s="58"/>
      <c r="G132" s="59"/>
      <c r="H132" s="57" t="s">
        <v>65</v>
      </c>
      <c r="I132" s="58"/>
      <c r="J132" s="59"/>
    </row>
    <row r="133" spans="1:21" s="112" customFormat="1" ht="26.25" thickBot="1">
      <c r="A133" s="71" t="s">
        <v>111</v>
      </c>
      <c r="B133" s="67" t="s">
        <v>112</v>
      </c>
      <c r="C133" s="74" t="s">
        <v>113</v>
      </c>
      <c r="D133" s="119" t="s">
        <v>114</v>
      </c>
      <c r="E133" s="71" t="s">
        <v>67</v>
      </c>
      <c r="F133" s="72" t="s">
        <v>68</v>
      </c>
      <c r="G133" s="73" t="s">
        <v>69</v>
      </c>
      <c r="H133" s="74" t="s">
        <v>67</v>
      </c>
      <c r="I133" s="72" t="s">
        <v>68</v>
      </c>
      <c r="J133" s="72" t="s">
        <v>69</v>
      </c>
      <c r="K133" s="120" t="s">
        <v>70</v>
      </c>
      <c r="S133" s="74" t="s">
        <v>73</v>
      </c>
      <c r="T133" s="113"/>
      <c r="U133" s="78" t="s">
        <v>75</v>
      </c>
    </row>
    <row r="134" spans="1:21" ht="12.75">
      <c r="A134" s="122">
        <v>26</v>
      </c>
      <c r="B134" s="123">
        <f>D83</f>
        <v>-88.67926013625</v>
      </c>
      <c r="C134" s="123">
        <f>D94</f>
        <v>118.57055318749998</v>
      </c>
      <c r="D134" s="124">
        <f>2*SQRT(ABS(B134/$H$109))</f>
        <v>2.4723240078921696</v>
      </c>
      <c r="E134" s="60">
        <f>(ABS($B134))/1000/$J$8/(($J$7-$J$9)*(1-(1.5/3*(1-SQRT(1-8/3*ABS($B134/1000/($J$7-$J$9)^2/$D$10))))))*10000</f>
        <v>14.609835919596646</v>
      </c>
      <c r="F134" s="33">
        <f>ABS($B134*6/$J$5^2)</f>
        <v>2627.5336336666664</v>
      </c>
      <c r="G134" s="104">
        <f>ABS(B134/($J$7^2/6+1.33*E134*10^-4*($J$7/2-$J$9)^2*14*2/$J$7))</f>
        <v>2354.2766752439893</v>
      </c>
      <c r="H134" s="32">
        <f>(ABS($S134))/1000/$J$8/(($J$7-$J$9)*(1-(1.5/3*(1-SQRT(1-8/3*ABS($S134/1000/($J$7-$J$9)^2/$D$10))))))*10000+$C134/$J$8*10</f>
        <v>18.78703063669163</v>
      </c>
      <c r="I134" s="33">
        <f>ABS($B134*6/$J$5^2)+C134/$J$5</f>
        <v>2891.0237518611107</v>
      </c>
      <c r="J134" s="33">
        <f>ABS(B134/($J$7^2/6+1.33*H134*10^-4*($J$7/2-$J$9)^2*14*2/$J$7))+C134/($J$7+1.33*H134*10^-4*14)</f>
        <v>2530.779302521946</v>
      </c>
      <c r="K134" s="64">
        <f>1.1*U134*(0.06*$D$9+0.6)*1000</f>
        <v>4400</v>
      </c>
      <c r="S134" s="1">
        <f>C134*(ABS(B134)/C134-$J$7/2+$J$9)</f>
        <v>67.3365605625</v>
      </c>
      <c r="T134" s="1"/>
      <c r="U134" s="6">
        <f>IF(C134&gt;0,IF(ABS(B134)/C134&lt;$J$5/2,1+(2*ABS(B134)/C134)/(3*$J$5),5/3),5/3)</f>
        <v>1.6666666666666667</v>
      </c>
    </row>
    <row r="135" spans="1:21" ht="12.75">
      <c r="A135" s="114">
        <v>27</v>
      </c>
      <c r="B135" s="31">
        <f>D84</f>
        <v>-106.12915411812499</v>
      </c>
      <c r="C135" s="31">
        <f>D95</f>
        <v>135.285944325</v>
      </c>
      <c r="D135" s="125">
        <f>2*SQRT(ABS(B135/$H$109))</f>
        <v>2.7046539519872037</v>
      </c>
      <c r="E135" s="60">
        <f>(ABS($B135))/1000/$J$8/(($J$7-$J$9)*(1-(1.5/3*(1-SQRT(1-8/3*ABS($B135/1000/($J$7-$J$9)^2/$D$10))))))*10000</f>
        <v>17.55864899166995</v>
      </c>
      <c r="F135" s="33">
        <f>ABS($B135*6/$J$5^2)</f>
        <v>3144.5675294259254</v>
      </c>
      <c r="G135" s="104">
        <f>ABS(B135/($J$7^2/6+1.33*E135*10^-4*($J$7/2-$J$9)^2*14*2/$J$7))</f>
        <v>2759.614371499356</v>
      </c>
      <c r="H135" s="32">
        <f>(ABS($S135))/1000/$J$8/(($J$7-$J$9)*(1-(1.5/3*(1-SQRT(1-8/3*ABS($S135/1000/($J$7-$J$9)^2/$D$10))))))*10000+$C135/$J$8*10</f>
        <v>22.292752487275145</v>
      </c>
      <c r="I135" s="33">
        <f>ABS($B135*6/$J$5^2)+C135/$J$5</f>
        <v>3445.2029612592587</v>
      </c>
      <c r="J135" s="33">
        <f>ABS(B135/($J$7^2/6+1.33*H135*10^-4*($J$7/2-$J$9)^2*14*2/$J$7))+C135/($J$7+1.33*H135*10^-4*14)</f>
        <v>2946.686715056089</v>
      </c>
      <c r="K135" s="64">
        <f>1.1*U135*(0.06*$D$9+0.6)*1000</f>
        <v>4400</v>
      </c>
      <c r="S135" s="1">
        <f>C135*(ABS(B135)/C135-$J$7/2+$J$9)</f>
        <v>81.777684139625</v>
      </c>
      <c r="U135" s="6">
        <f>IF(C135&gt;0,IF(ABS(B135)/C135&lt;$J$5/2,1+(2*ABS(B135)/C135)/(3*$J$5),5/3),5/3)</f>
        <v>1.6666666666666667</v>
      </c>
    </row>
    <row r="136" spans="1:21" ht="13.5" thickBot="1">
      <c r="A136" s="116">
        <v>28</v>
      </c>
      <c r="B136" s="35">
        <f>D85</f>
        <v>-113.03812635687501</v>
      </c>
      <c r="C136" s="35">
        <f>D96</f>
        <v>140.497262825</v>
      </c>
      <c r="D136" s="126">
        <f>2*SQRT(ABS(B136/$H$109))</f>
        <v>2.791302025937</v>
      </c>
      <c r="E136" s="62">
        <f>(ABS($B136))/1000/$J$8/(($J$7-$J$9)*(1-(1.5/3*(1-SQRT(1-8/3*ABS($B136/1000/($J$7-$J$9)^2/$D$10))))))*10000</f>
        <v>18.733274898490663</v>
      </c>
      <c r="F136" s="37">
        <f>ABS($B136*6/$J$5^2)</f>
        <v>3349.277817981482</v>
      </c>
      <c r="G136" s="118">
        <f>ABS(B136/($J$7^2/6+1.33*E136*10^-4*($J$7/2-$J$9)^2*14*2/$J$7))</f>
        <v>2915.388868903438</v>
      </c>
      <c r="H136" s="36">
        <f>(ABS($S136))/1000/$J$8/(($J$7-$J$9)*(1-(1.5/3*(1-SQRT(1-8/3*ABS($S136/1000/($J$7-$J$9)^2/$D$10))))))*10000+$C136/$J$8*10</f>
        <v>23.636109173373132</v>
      </c>
      <c r="I136" s="37">
        <f>ABS($B136*6/$J$5^2)+C136/$J$5</f>
        <v>3661.493957592593</v>
      </c>
      <c r="J136" s="37">
        <f>ABS(B136/($J$7^2/6+1.33*H136*10^-4*($J$7/2-$J$9)^2*14*2/$J$7))+C136/($J$7+1.33*H136*10^-4*14)</f>
        <v>3104.186097869846</v>
      </c>
      <c r="K136" s="121">
        <f>1.1*U136*(0.06*$D$9+0.6)*1000</f>
        <v>4400</v>
      </c>
      <c r="S136" s="1">
        <f>C136*(ABS(B136)/C136-$J$7/2+$J$9)</f>
        <v>87.748619048375</v>
      </c>
      <c r="U136" s="6">
        <f>IF(C136&gt;0,IF(ABS(B136)/C136&lt;$J$5/2,1+(2*ABS(B136)/C136)/(3*$J$5),5/3),5/3)</f>
        <v>1.6666666666666667</v>
      </c>
    </row>
  </sheetData>
  <sheetProtection sheet="1" objects="1" scenarios="1"/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4"/>
  <headerFooter alignWithMargins="0">
    <oddHeader>&amp;LEUROCONCEPT INGENIERIE&amp;C&amp;F,  &amp;A&amp;R&amp;D</oddHeader>
    <oddFooter>&amp;LSATION E.P. ROISSY - LOT 30K&amp;RPage   &amp;P</oddFooter>
  </headerFooter>
  <rowBreaks count="2" manualBreakCount="2">
    <brk id="53" max="65535" man="1"/>
    <brk id="104" max="65535" man="1"/>
  </rowBreaks>
  <colBreaks count="1" manualBreakCount="1">
    <brk id="11" max="65535" man="1"/>
  </colBreaks>
  <drawing r:id="rId3"/>
  <legacyDrawing r:id="rId2"/>
  <oleObjects>
    <oleObject progId="Equation.2" shapeId="184306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53"/>
  <sheetViews>
    <sheetView workbookViewId="0" topLeftCell="A1">
      <selection activeCell="L9" sqref="L9"/>
    </sheetView>
  </sheetViews>
  <sheetFormatPr defaultColWidth="8.7109375" defaultRowHeight="12.75"/>
  <cols>
    <col min="1" max="4" width="11.421875" customWidth="1"/>
    <col min="5" max="5" width="8.7109375" style="4" customWidth="1"/>
    <col min="6" max="16384" width="11.421875" customWidth="1"/>
  </cols>
  <sheetData>
    <row r="1" spans="1:9" ht="18">
      <c r="A1" s="30" t="s">
        <v>34</v>
      </c>
      <c r="B1" s="29"/>
      <c r="C1" s="29"/>
      <c r="D1" s="29"/>
      <c r="E1" s="29"/>
      <c r="F1" s="29"/>
      <c r="G1" s="29"/>
      <c r="H1" s="29"/>
      <c r="I1" s="29"/>
    </row>
    <row r="2" ht="13.5" thickBot="1"/>
    <row r="3" spans="1:9" ht="17.25" thickBot="1" thickTop="1">
      <c r="A3" s="24" t="s">
        <v>35</v>
      </c>
      <c r="B3" s="17"/>
      <c r="C3" s="26"/>
      <c r="D3" s="25"/>
      <c r="E3" s="25"/>
      <c r="F3" s="26"/>
      <c r="G3" s="26"/>
      <c r="H3" s="29"/>
      <c r="I3" s="29"/>
    </row>
    <row r="4" ht="13.5" thickTop="1"/>
    <row r="5" spans="1:9" ht="12.75">
      <c r="A5" t="s">
        <v>36</v>
      </c>
      <c r="C5" s="133">
        <v>13.7</v>
      </c>
      <c r="D5" t="s">
        <v>37</v>
      </c>
      <c r="E5" t="s">
        <v>45</v>
      </c>
      <c r="H5" s="132">
        <v>153</v>
      </c>
      <c r="I5" t="s">
        <v>46</v>
      </c>
    </row>
    <row r="6" spans="1:9" ht="12.75">
      <c r="A6" t="s">
        <v>39</v>
      </c>
      <c r="C6" s="133">
        <v>7.76</v>
      </c>
      <c r="D6" t="s">
        <v>37</v>
      </c>
      <c r="E6" t="s">
        <v>118</v>
      </c>
      <c r="H6" s="130">
        <v>18</v>
      </c>
      <c r="I6" t="s">
        <v>46</v>
      </c>
    </row>
    <row r="7" spans="1:9" ht="12.75">
      <c r="A7" t="s">
        <v>41</v>
      </c>
      <c r="C7" s="133">
        <v>4.9</v>
      </c>
      <c r="D7" t="s">
        <v>37</v>
      </c>
      <c r="E7" t="s">
        <v>119</v>
      </c>
      <c r="H7" s="133">
        <v>0.4</v>
      </c>
      <c r="I7" t="s">
        <v>37</v>
      </c>
    </row>
    <row r="8" spans="1:9" ht="14.25">
      <c r="A8" t="s">
        <v>43</v>
      </c>
      <c r="C8" s="134">
        <v>10</v>
      </c>
      <c r="D8" t="s">
        <v>44</v>
      </c>
      <c r="E8" t="s">
        <v>48</v>
      </c>
      <c r="H8" s="133">
        <v>0.045</v>
      </c>
      <c r="I8" t="s">
        <v>37</v>
      </c>
    </row>
    <row r="9" spans="5:9" ht="12.75">
      <c r="E9" s="27" t="s">
        <v>120</v>
      </c>
      <c r="H9" s="28">
        <f>$H$6*($H$7-$H$8)^2*0.5*$H$6/($H$6+$H$5/15)*(1-$H$6/($H$6+$H$5/15)/3)*1000</f>
        <v>569.9365097329111</v>
      </c>
      <c r="I9" s="27" t="s">
        <v>51</v>
      </c>
    </row>
    <row r="11" spans="1:5" ht="12.75">
      <c r="A11" s="3" t="s">
        <v>53</v>
      </c>
      <c r="D11" t="s">
        <v>121</v>
      </c>
      <c r="E11"/>
    </row>
    <row r="12" spans="1:5" ht="12.75">
      <c r="A12" s="3"/>
      <c r="E12"/>
    </row>
    <row r="13" spans="1:5" ht="12.75">
      <c r="A13" s="3"/>
      <c r="D13" s="10"/>
      <c r="E13"/>
    </row>
    <row r="14" spans="1:5" ht="12.75">
      <c r="A14" s="4" t="s">
        <v>55</v>
      </c>
      <c r="B14" s="6">
        <f>C$7</f>
        <v>4.9</v>
      </c>
      <c r="C14" t="s">
        <v>37</v>
      </c>
      <c r="E14"/>
    </row>
    <row r="15" spans="1:5" ht="12.75">
      <c r="A15" s="4" t="s">
        <v>56</v>
      </c>
      <c r="B15" s="6">
        <f>C$5</f>
        <v>13.7</v>
      </c>
      <c r="C15" t="s">
        <v>37</v>
      </c>
      <c r="E15"/>
    </row>
    <row r="16" spans="1:10" ht="12.75">
      <c r="A16" s="5" t="s">
        <v>57</v>
      </c>
      <c r="B16" s="6">
        <f>B14/B15</f>
        <v>0.3576642335766424</v>
      </c>
      <c r="I16" s="12"/>
      <c r="J16" s="12"/>
    </row>
    <row r="17" spans="1:5" ht="12.75">
      <c r="A17" s="5" t="s">
        <v>58</v>
      </c>
      <c r="B17" s="6">
        <f>B15/B14</f>
        <v>2.7959183673469385</v>
      </c>
      <c r="E17"/>
    </row>
    <row r="18" spans="1:5" ht="14.25">
      <c r="A18" s="4" t="s">
        <v>59</v>
      </c>
      <c r="B18">
        <f>C$8*C$7</f>
        <v>49</v>
      </c>
      <c r="C18" t="s">
        <v>60</v>
      </c>
      <c r="E18"/>
    </row>
    <row r="19" ht="12.75">
      <c r="E19"/>
    </row>
    <row r="20" spans="5:14" ht="12.75">
      <c r="E20"/>
      <c r="K20" s="18" t="s">
        <v>61</v>
      </c>
      <c r="L20" s="19" t="s">
        <v>62</v>
      </c>
      <c r="M20" s="18" t="s">
        <v>61</v>
      </c>
      <c r="N20" s="19" t="s">
        <v>63</v>
      </c>
    </row>
    <row r="21" spans="5:14" ht="13.5" thickBot="1">
      <c r="E21"/>
      <c r="K21" s="20">
        <f>VLOOKUP($B$16,P1_1.88,8)</f>
        <v>3</v>
      </c>
      <c r="L21" s="21">
        <f>VLOOKUP($B$16,P1_1.88,1)</f>
        <v>0.35</v>
      </c>
      <c r="M21" s="22">
        <f>K21+1</f>
        <v>4</v>
      </c>
      <c r="N21" s="21">
        <f>VLOOKUP($M$21,P2_1.88,2)</f>
        <v>0.39999999999999997</v>
      </c>
    </row>
    <row r="22" spans="1:14" ht="27.75" thickBot="1">
      <c r="A22" s="41"/>
      <c r="B22" s="44"/>
      <c r="C22" s="45"/>
      <c r="D22" s="38" t="s">
        <v>122</v>
      </c>
      <c r="E22" s="38" t="s">
        <v>123</v>
      </c>
      <c r="F22" s="39" t="s">
        <v>124</v>
      </c>
      <c r="G22" s="40" t="s">
        <v>125</v>
      </c>
      <c r="K22" s="23" t="s">
        <v>126</v>
      </c>
      <c r="L22" s="23" t="s">
        <v>71</v>
      </c>
      <c r="N22" s="23" t="s">
        <v>72</v>
      </c>
    </row>
    <row r="23" spans="1:14" ht="15.75">
      <c r="A23" s="42" t="s">
        <v>127</v>
      </c>
      <c r="B23" s="46">
        <f>L23+(N23-L23)/(N$21-L$21)*(B$16-L$21)</f>
        <v>0.007713868613138691</v>
      </c>
      <c r="C23" s="47" t="s">
        <v>128</v>
      </c>
      <c r="D23" s="31">
        <f>B23*B$18*B$14^2</f>
        <v>9.075289284671541</v>
      </c>
      <c r="E23" s="32">
        <f>(ABS($D23))/1000/$H$5/(($H$7-$H$8)*(1-(1.5/3*(1-SQRT(1-8/3*ABS($D23/1000/($H$7-$H$8)^2/$H$6))))))*10000</f>
        <v>1.675342724607342</v>
      </c>
      <c r="F23" s="33">
        <f>ABS(D23*6/$H$7^2)</f>
        <v>340.32334817518273</v>
      </c>
      <c r="G23" s="50">
        <f>ABS(D23/($H$7^2/6+1.33*E23*10^-4*($H$7-$H$8)^2/4*14*2/$H$7))</f>
        <v>334.1653056277495</v>
      </c>
      <c r="K23">
        <v>2</v>
      </c>
      <c r="L23" s="10">
        <f aca="true" t="shared" si="0" ref="L23:L28">VLOOKUP(L$21,P1_1.88,$K23)</f>
        <v>0.0073</v>
      </c>
      <c r="N23" s="10">
        <f aca="true" t="shared" si="1" ref="N23:N28">VLOOKUP(N$21,P1_1.88,$K23)</f>
        <v>0.01</v>
      </c>
    </row>
    <row r="24" spans="1:14" ht="12.75">
      <c r="A24" s="42"/>
      <c r="B24" s="46"/>
      <c r="C24" s="47"/>
      <c r="D24" s="31"/>
      <c r="E24" s="32"/>
      <c r="F24" s="33"/>
      <c r="G24" s="34">
        <f>IF(ABS($D24)&gt;$H$9,"--&gt; As comprimés requis","")</f>
      </c>
      <c r="K24">
        <v>3</v>
      </c>
      <c r="L24" s="10">
        <f t="shared" si="0"/>
        <v>0</v>
      </c>
      <c r="N24" s="10">
        <f t="shared" si="1"/>
        <v>0</v>
      </c>
    </row>
    <row r="25" spans="1:14" ht="15.75">
      <c r="A25" s="42" t="s">
        <v>129</v>
      </c>
      <c r="B25" s="46">
        <f>L25+(N25-L25)/(N$21-L$21)*(B$16-L$21)</f>
        <v>-0.11876131386861312</v>
      </c>
      <c r="C25" s="47" t="s">
        <v>128</v>
      </c>
      <c r="D25" s="31">
        <f>B25*B$18*B$14^2</f>
        <v>-139.72149815328467</v>
      </c>
      <c r="E25" s="32">
        <f>(ABS($D25))/1000/$H$5/(($H$7-$H$8)*(1-(1.5/3*(1-SQRT(1-8/3*ABS($D25/1000/($H$7-$H$8)^2/$H$6))))))*10000</f>
        <v>26.87741238599244</v>
      </c>
      <c r="F25" s="33">
        <f>ABS(D25*6/$H$7^2)</f>
        <v>5239.5561807481745</v>
      </c>
      <c r="G25" s="50">
        <f>ABS(D25/($H$7^2/6+1.33*E25*10^-4*($H$7-$H$8)^2/4*14*2/$H$7))</f>
        <v>4043.9866646551627</v>
      </c>
      <c r="K25">
        <v>4</v>
      </c>
      <c r="L25" s="10">
        <f t="shared" si="0"/>
        <v>-0.1208</v>
      </c>
      <c r="N25" s="10">
        <f t="shared" si="1"/>
        <v>-0.1075</v>
      </c>
    </row>
    <row r="26" spans="1:14" ht="15.75">
      <c r="A26" s="42" t="s">
        <v>130</v>
      </c>
      <c r="B26" s="46">
        <f>L26+(N26-L26)/(N$21-L$21)*(B$16-L$21)</f>
        <v>0.001291970802919709</v>
      </c>
      <c r="C26" s="47" t="s">
        <v>131</v>
      </c>
      <c r="D26" s="31">
        <f>B26*B$18*B$15^2</f>
        <v>11.882010000000006</v>
      </c>
      <c r="E26" s="32">
        <f>(ABS($D26))/1000/$H$5/(($H$7-$H$8)*(1-(1.5/3*(1-SQRT(1-8/3*ABS($D26/1000/($H$7-$H$8)^2/$H$6))))))*10000</f>
        <v>2.195304031925202</v>
      </c>
      <c r="F26" s="33">
        <f>ABS(D26*6/$H$7^2)</f>
        <v>445.5753750000001</v>
      </c>
      <c r="G26" s="50">
        <f>ABS(D26/($H$7^2/6+1.33*E26*10^-4*($H$7-$H$8)^2/4*14*2/$H$7))</f>
        <v>435.0695295726422</v>
      </c>
      <c r="K26">
        <v>5</v>
      </c>
      <c r="L26" s="10">
        <f t="shared" si="0"/>
        <v>0.0012</v>
      </c>
      <c r="N26" s="10">
        <f t="shared" si="1"/>
        <v>0.0018</v>
      </c>
    </row>
    <row r="27" spans="1:14" ht="12.75">
      <c r="A27" s="42"/>
      <c r="B27" s="46"/>
      <c r="C27" s="47"/>
      <c r="D27" s="31"/>
      <c r="E27" s="32"/>
      <c r="F27" s="33"/>
      <c r="G27" s="34">
        <f>IF(ABS($D27)&gt;$H$9,"--&gt; As comprimés requis","")</f>
      </c>
      <c r="K27">
        <v>6</v>
      </c>
      <c r="L27" s="10">
        <f t="shared" si="0"/>
        <v>0</v>
      </c>
      <c r="N27" s="10">
        <f t="shared" si="1"/>
        <v>0</v>
      </c>
    </row>
    <row r="28" spans="1:14" ht="16.5" thickBot="1">
      <c r="A28" s="43" t="s">
        <v>132</v>
      </c>
      <c r="B28" s="48">
        <f>L28+(N28-L28)/(N$21-L$21)*(B$16-L$21)</f>
        <v>-0.006875912408759127</v>
      </c>
      <c r="C28" s="49" t="s">
        <v>131</v>
      </c>
      <c r="D28" s="35">
        <f>B28*B$18*B$15^2</f>
        <v>-63.23646000000002</v>
      </c>
      <c r="E28" s="36">
        <f>(ABS($D28))/1000/$H$5/(($H$7-$H$8)*(1-(1.5/3*(1-SQRT(1-8/3*ABS($D28/1000/($H$7-$H$8)^2/$H$6))))))*10000</f>
        <v>11.867346023613173</v>
      </c>
      <c r="F28" s="37">
        <f>ABS(D28*6/$H$7^2)</f>
        <v>2371.3672500000002</v>
      </c>
      <c r="G28" s="51">
        <f>ABS(D28/($H$7^2/6+1.33*E28*10^-4*($H$7-$H$8)^2/4*14*2/$H$7))</f>
        <v>2097.5595995076633</v>
      </c>
      <c r="K28">
        <v>7</v>
      </c>
      <c r="L28" s="10">
        <f t="shared" si="0"/>
        <v>-0.0066</v>
      </c>
      <c r="N28" s="10">
        <f t="shared" si="1"/>
        <v>-0.0084</v>
      </c>
    </row>
    <row r="29" spans="1:5" ht="12.75">
      <c r="A29" s="4"/>
      <c r="E29"/>
    </row>
    <row r="31" spans="1:5" ht="12.75">
      <c r="A31" s="3" t="s">
        <v>106</v>
      </c>
      <c r="D31" t="s">
        <v>121</v>
      </c>
      <c r="E31"/>
    </row>
    <row r="32" spans="1:5" ht="12.75">
      <c r="A32" s="3"/>
      <c r="E32"/>
    </row>
    <row r="33" spans="1:5" ht="12.75">
      <c r="A33" s="3"/>
      <c r="D33" s="10"/>
      <c r="E33"/>
    </row>
    <row r="34" spans="1:5" ht="12.75">
      <c r="A34" s="4" t="s">
        <v>55</v>
      </c>
      <c r="B34" s="6">
        <f>C$7</f>
        <v>4.9</v>
      </c>
      <c r="C34" t="s">
        <v>37</v>
      </c>
      <c r="E34"/>
    </row>
    <row r="35" spans="1:5" ht="12.75">
      <c r="A35" s="4" t="s">
        <v>56</v>
      </c>
      <c r="B35" s="6">
        <f>C$6</f>
        <v>7.76</v>
      </c>
      <c r="C35" t="s">
        <v>37</v>
      </c>
      <c r="E35"/>
    </row>
    <row r="36" spans="1:12" ht="12.75">
      <c r="A36" s="5" t="s">
        <v>57</v>
      </c>
      <c r="B36" s="6">
        <f>B34/B35</f>
        <v>0.6314432989690723</v>
      </c>
      <c r="K36" s="12"/>
      <c r="L36" s="12"/>
    </row>
    <row r="37" spans="1:5" ht="12.75">
      <c r="A37" s="5" t="s">
        <v>58</v>
      </c>
      <c r="B37" s="6">
        <f>B35/B34</f>
        <v>1.583673469387755</v>
      </c>
      <c r="E37"/>
    </row>
    <row r="38" spans="1:5" ht="14.25">
      <c r="A38" s="4" t="s">
        <v>59</v>
      </c>
      <c r="B38">
        <f>C$8*C$7</f>
        <v>49</v>
      </c>
      <c r="C38" t="s">
        <v>60</v>
      </c>
      <c r="E38"/>
    </row>
    <row r="39" ht="12.75">
      <c r="E39"/>
    </row>
    <row r="40" ht="12.75">
      <c r="E40"/>
    </row>
    <row r="41" spans="5:14" ht="12.75">
      <c r="E41"/>
      <c r="K41" s="18" t="s">
        <v>61</v>
      </c>
      <c r="L41" s="19" t="s">
        <v>62</v>
      </c>
      <c r="M41" s="18" t="s">
        <v>61</v>
      </c>
      <c r="N41" s="19" t="s">
        <v>63</v>
      </c>
    </row>
    <row r="42" spans="5:14" ht="13.5" thickBot="1">
      <c r="E42"/>
      <c r="K42" s="20">
        <f>VLOOKUP($B$36,P1_1.88,8)</f>
        <v>8</v>
      </c>
      <c r="L42" s="21">
        <f>VLOOKUP($B$36,P1_1.88,1)</f>
        <v>0.6</v>
      </c>
      <c r="M42" s="22">
        <f>K42+1</f>
        <v>9</v>
      </c>
      <c r="N42" s="21">
        <f>VLOOKUP($M$42,P2_1.88,2)</f>
        <v>0.65</v>
      </c>
    </row>
    <row r="43" spans="1:14" ht="27.75" thickBot="1">
      <c r="A43" s="41"/>
      <c r="B43" s="44"/>
      <c r="C43" s="45"/>
      <c r="D43" s="38" t="s">
        <v>122</v>
      </c>
      <c r="E43" s="38" t="s">
        <v>123</v>
      </c>
      <c r="F43" s="39" t="s">
        <v>124</v>
      </c>
      <c r="G43" s="40" t="s">
        <v>125</v>
      </c>
      <c r="K43" s="23" t="s">
        <v>126</v>
      </c>
      <c r="L43" s="23" t="s">
        <v>71</v>
      </c>
      <c r="N43" s="23" t="s">
        <v>72</v>
      </c>
    </row>
    <row r="44" spans="1:14" ht="15.75">
      <c r="A44" s="42" t="s">
        <v>127</v>
      </c>
      <c r="B44" s="46">
        <f>L44+(N44-L44)/(N$42-L$42)*(B$36-L$42)</f>
        <v>0.01364845360824742</v>
      </c>
      <c r="C44" s="47" t="s">
        <v>128</v>
      </c>
      <c r="D44" s="31">
        <f>B44*B$18*B$34^2</f>
        <v>16.05726918556701</v>
      </c>
      <c r="E44" s="32">
        <f>(ABS($D44))/1000/$H$5/(($H$7-$H$8)*(1-(1.5/3*(1-SQRT(1-8/3*ABS($D44/1000/($H$7-$H$8)^2/$H$6))))))*10000</f>
        <v>2.97040732154721</v>
      </c>
      <c r="F44" s="33">
        <f>ABS(D44*6/$H$7^2)</f>
        <v>602.1475944587627</v>
      </c>
      <c r="G44" s="50">
        <f>ABS(D44/($H$7^2/6+1.33*E44*10^-4*($H$7-$H$8)^2/4*14*2/$H$7))</f>
        <v>583.0958978765528</v>
      </c>
      <c r="K44">
        <v>2</v>
      </c>
      <c r="L44" s="10">
        <f aca="true" t="shared" si="2" ref="L44:L49">VLOOKUP(L$42,P1_1.88,$K44)</f>
        <v>0.0139</v>
      </c>
      <c r="N44" s="10">
        <f aca="true" t="shared" si="3" ref="N44:N49">VLOOKUP(N$42,P1_1.88,$K44)</f>
        <v>0.0135</v>
      </c>
    </row>
    <row r="45" spans="1:14" ht="12.75">
      <c r="A45" s="42"/>
      <c r="B45" s="46"/>
      <c r="C45" s="47"/>
      <c r="D45" s="31"/>
      <c r="E45" s="32"/>
      <c r="F45" s="33"/>
      <c r="G45" s="34">
        <f>IF(ABS($D45)&gt;$H$9,"--&gt; As comprimés requis","")</f>
      </c>
      <c r="K45">
        <v>3</v>
      </c>
      <c r="L45" s="10">
        <f t="shared" si="2"/>
        <v>0</v>
      </c>
      <c r="N45" s="10">
        <f t="shared" si="3"/>
        <v>0</v>
      </c>
    </row>
    <row r="46" spans="1:14" ht="15.75">
      <c r="A46" s="42" t="s">
        <v>129</v>
      </c>
      <c r="B46" s="46">
        <f>L46+(N46-L46)/(N$42-L$42)*(B$36-L$42)</f>
        <v>-0.0643381443298969</v>
      </c>
      <c r="C46" s="47" t="s">
        <v>128</v>
      </c>
      <c r="D46" s="31">
        <f>B46*B$18*B$34^2</f>
        <v>-75.69318342268042</v>
      </c>
      <c r="E46" s="32">
        <f>(ABS($D46))/1000/$H$5/(($H$7-$H$8)*(1-(1.5/3*(1-SQRT(1-8/3*ABS($D46/1000/($H$7-$H$8)^2/$H$6))))))*10000</f>
        <v>14.260581979712661</v>
      </c>
      <c r="F46" s="33">
        <f>ABS(D46*6/$H$7^2)</f>
        <v>2838.494378350515</v>
      </c>
      <c r="G46" s="50">
        <f>ABS(D46/($H$7^2/6+1.33*E46*10^-4*($H$7-$H$8)^2/4*14*2/$H$7))</f>
        <v>2453.6175366470416</v>
      </c>
      <c r="K46">
        <v>4</v>
      </c>
      <c r="L46" s="10">
        <f t="shared" si="2"/>
        <v>-0.0683</v>
      </c>
      <c r="N46" s="10">
        <f t="shared" si="3"/>
        <v>-0.062</v>
      </c>
    </row>
    <row r="47" spans="1:14" ht="15.75">
      <c r="A47" s="42" t="s">
        <v>130</v>
      </c>
      <c r="B47" s="46">
        <f>L47+(N47-L47)/(N$42-L$42)*(B$36-L$42)</f>
        <v>0.005503092783505156</v>
      </c>
      <c r="C47" s="47" t="s">
        <v>131</v>
      </c>
      <c r="D47" s="31">
        <f>B47*B$18*B$35^2</f>
        <v>16.237768960000004</v>
      </c>
      <c r="E47" s="32">
        <f>(ABS($D47))/1000/$H$5/(($H$7-$H$8)*(1-(1.5/3*(1-SQRT(1-8/3*ABS($D47/1000/($H$7-$H$8)^2/$H$6))))))*10000</f>
        <v>3.0039593224462124</v>
      </c>
      <c r="F47" s="33">
        <f>ABS(D47*6/$H$7^2)</f>
        <v>608.916336</v>
      </c>
      <c r="G47" s="50">
        <f>ABS(D47/($H$7^2/6+1.33*E47*10^-4*($H$7-$H$8)^2/4*14*2/$H$7))</f>
        <v>589.4398238844635</v>
      </c>
      <c r="K47">
        <v>5</v>
      </c>
      <c r="L47" s="10">
        <f t="shared" si="2"/>
        <v>0.005</v>
      </c>
      <c r="N47" s="10">
        <f t="shared" si="3"/>
        <v>0.0058</v>
      </c>
    </row>
    <row r="48" spans="1:14" ht="12.75">
      <c r="A48" s="42"/>
      <c r="B48" s="46"/>
      <c r="C48" s="47"/>
      <c r="D48" s="31"/>
      <c r="E48" s="32"/>
      <c r="F48" s="33"/>
      <c r="G48" s="34">
        <f>IF(ABS($D48)&gt;$H$9,"--&gt; As comprimés requis","")</f>
      </c>
      <c r="K48">
        <v>6</v>
      </c>
      <c r="L48" s="10">
        <f t="shared" si="2"/>
        <v>0</v>
      </c>
      <c r="N48" s="10">
        <f t="shared" si="3"/>
        <v>0</v>
      </c>
    </row>
    <row r="49" spans="1:14" ht="16.5" thickBot="1">
      <c r="A49" s="43" t="s">
        <v>132</v>
      </c>
      <c r="B49" s="48">
        <f>L49+(N49-L49)/(N$42-L$42)*(B$36-L$42)</f>
        <v>-0.01785773195876289</v>
      </c>
      <c r="C49" s="49" t="s">
        <v>131</v>
      </c>
      <c r="D49" s="35">
        <f>B49*B$18*B$35^2</f>
        <v>-52.69213824000001</v>
      </c>
      <c r="E49" s="36">
        <f>(ABS($D49))/1000/$H$5/(($H$7-$H$8)*(1-(1.5/3*(1-SQRT(1-8/3*ABS($D49/1000/($H$7-$H$8)^2/$H$6))))))*10000</f>
        <v>9.85628217744519</v>
      </c>
      <c r="F49" s="37">
        <f>ABS(D49*6/$H$7^2)</f>
        <v>1975.955184</v>
      </c>
      <c r="G49" s="51">
        <f>ABS(D49/($H$7^2/6+1.33*E49*10^-4*($H$7-$H$8)^2/4*14*2/$H$7))</f>
        <v>1782.6847823499859</v>
      </c>
      <c r="K49">
        <v>7</v>
      </c>
      <c r="L49" s="10">
        <f t="shared" si="2"/>
        <v>-0.0166</v>
      </c>
      <c r="N49" s="10">
        <f t="shared" si="3"/>
        <v>-0.0186</v>
      </c>
    </row>
    <row r="52" ht="12.75">
      <c r="A52" s="23" t="s">
        <v>107</v>
      </c>
    </row>
    <row r="53" ht="12.75">
      <c r="A53" t="s">
        <v>108</v>
      </c>
    </row>
  </sheetData>
  <sheetProtection sheet="1" objects="1" scenarios="1"/>
  <printOptions horizontalCentered="1"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2"/>
  <headerFooter alignWithMargins="0">
    <oddHeader>&amp;LEUROCONCEPT INGENIERIE&amp;C&amp;F,  &amp;A&amp;R&amp;D</oddHeader>
    <oddFooter>&amp;LSATION E.P. ROISSY - LOT 30K&amp;RPage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U136"/>
  <sheetViews>
    <sheetView workbookViewId="0" topLeftCell="A1">
      <selection activeCell="L3" sqref="L3"/>
    </sheetView>
  </sheetViews>
  <sheetFormatPr defaultColWidth="7.7109375" defaultRowHeight="12.75"/>
  <cols>
    <col min="1" max="1" width="11.421875" customWidth="1"/>
    <col min="2" max="3" width="7.7109375" style="0" customWidth="1"/>
    <col min="4" max="4" width="11.421875" customWidth="1"/>
    <col min="5" max="5" width="7.7109375" style="4" customWidth="1"/>
    <col min="6" max="16384" width="11.421875" customWidth="1"/>
  </cols>
  <sheetData>
    <row r="1" spans="1:11" ht="18">
      <c r="A1" s="30" t="s">
        <v>133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4:15" ht="13.5" thickBot="1">
      <c r="N2" s="53"/>
      <c r="O2" s="53"/>
    </row>
    <row r="3" spans="1:15" ht="17.25" thickBot="1" thickTop="1">
      <c r="A3" s="24" t="s">
        <v>116</v>
      </c>
      <c r="B3" s="17"/>
      <c r="C3" s="26"/>
      <c r="D3" s="25"/>
      <c r="E3" s="25"/>
      <c r="F3" s="26"/>
      <c r="G3" s="26"/>
      <c r="H3" s="26"/>
      <c r="I3" s="26"/>
      <c r="J3" s="29"/>
      <c r="K3" s="29"/>
      <c r="N3" s="53"/>
      <c r="O3" s="53"/>
    </row>
    <row r="4" spans="14:15" ht="12" customHeight="1" thickTop="1">
      <c r="N4" s="53"/>
      <c r="O4" s="53"/>
    </row>
    <row r="5" spans="1:15" ht="12.75">
      <c r="A5" t="s">
        <v>36</v>
      </c>
      <c r="D5" s="133">
        <v>13.7</v>
      </c>
      <c r="E5" t="s">
        <v>37</v>
      </c>
      <c r="F5" t="s">
        <v>38</v>
      </c>
      <c r="J5" s="133">
        <v>0.4</v>
      </c>
      <c r="K5" t="s">
        <v>37</v>
      </c>
      <c r="M5" s="53" t="s">
        <v>134</v>
      </c>
      <c r="O5" s="53" t="s">
        <v>135</v>
      </c>
    </row>
    <row r="6" spans="1:15" ht="12.75">
      <c r="A6" t="s">
        <v>39</v>
      </c>
      <c r="D6" s="133">
        <v>8</v>
      </c>
      <c r="E6" t="s">
        <v>37</v>
      </c>
      <c r="F6" t="s">
        <v>40</v>
      </c>
      <c r="J6" s="133">
        <v>0.45</v>
      </c>
      <c r="K6" t="s">
        <v>37</v>
      </c>
      <c r="M6" s="53" t="s">
        <v>136</v>
      </c>
      <c r="O6" s="53" t="s">
        <v>137</v>
      </c>
    </row>
    <row r="7" spans="1:15" ht="12.75">
      <c r="A7" t="s">
        <v>41</v>
      </c>
      <c r="D7" s="133">
        <v>5.8</v>
      </c>
      <c r="E7" t="s">
        <v>37</v>
      </c>
      <c r="F7" t="s">
        <v>42</v>
      </c>
      <c r="J7" s="133">
        <v>0.45</v>
      </c>
      <c r="K7" t="s">
        <v>37</v>
      </c>
      <c r="M7" s="53" t="s">
        <v>138</v>
      </c>
      <c r="O7" s="53" t="s">
        <v>139</v>
      </c>
    </row>
    <row r="8" spans="1:15" ht="14.25">
      <c r="A8" t="s">
        <v>43</v>
      </c>
      <c r="D8" s="134">
        <v>10</v>
      </c>
      <c r="E8" t="s">
        <v>44</v>
      </c>
      <c r="F8" t="s">
        <v>45</v>
      </c>
      <c r="J8" s="132">
        <v>153</v>
      </c>
      <c r="K8" t="s">
        <v>46</v>
      </c>
      <c r="M8" s="53" t="s">
        <v>140</v>
      </c>
      <c r="O8" s="53" t="s">
        <v>141</v>
      </c>
    </row>
    <row r="9" spans="1:15" ht="12.75">
      <c r="A9" t="s">
        <v>47</v>
      </c>
      <c r="D9" s="130">
        <v>30</v>
      </c>
      <c r="E9" t="s">
        <v>46</v>
      </c>
      <c r="F9" t="s">
        <v>48</v>
      </c>
      <c r="J9" s="133">
        <v>0.045</v>
      </c>
      <c r="K9" t="s">
        <v>37</v>
      </c>
      <c r="M9" s="53" t="s">
        <v>142</v>
      </c>
      <c r="O9" s="53" t="s">
        <v>143</v>
      </c>
    </row>
    <row r="10" spans="1:15" ht="15.75">
      <c r="A10" t="s">
        <v>49</v>
      </c>
      <c r="D10" s="103">
        <f>0.6*D9</f>
        <v>18</v>
      </c>
      <c r="E10" t="s">
        <v>46</v>
      </c>
      <c r="F10" s="27" t="s">
        <v>50</v>
      </c>
      <c r="J10" s="28">
        <f>$D$10*($J$5-$J$9)^2*0.5*$D$10/($D$10+$J$8/15)*(1-$D$10/($D$10+$J$8/15)/3)*1000</f>
        <v>569.9365097329111</v>
      </c>
      <c r="K10" s="27" t="s">
        <v>51</v>
      </c>
      <c r="L10" s="27"/>
      <c r="M10" s="53" t="s">
        <v>144</v>
      </c>
      <c r="O10" s="53" t="s">
        <v>145</v>
      </c>
    </row>
    <row r="11" spans="6:15" ht="15.75">
      <c r="F11" s="27" t="s">
        <v>52</v>
      </c>
      <c r="J11" s="28">
        <f>$D$10*($J$6-$J$9)^2*0.5*$D$10/($D$10+$J$8/15)*(1-$D$10/($D$10+$J$8/15)/3)*1000</f>
        <v>741.7880262562246</v>
      </c>
      <c r="K11" s="27" t="s">
        <v>51</v>
      </c>
      <c r="M11" s="53" t="s">
        <v>146</v>
      </c>
      <c r="O11" s="53" t="s">
        <v>147</v>
      </c>
    </row>
    <row r="12" spans="1:15" ht="12.75">
      <c r="A12" s="3" t="s">
        <v>53</v>
      </c>
      <c r="D12" t="s">
        <v>148</v>
      </c>
      <c r="E12"/>
      <c r="M12" s="53" t="s">
        <v>149</v>
      </c>
      <c r="O12" s="53" t="s">
        <v>150</v>
      </c>
    </row>
    <row r="13" spans="1:15" ht="12.75">
      <c r="A13" s="3"/>
      <c r="E13"/>
      <c r="M13" s="53" t="s">
        <v>151</v>
      </c>
      <c r="O13" s="53" t="s">
        <v>152</v>
      </c>
    </row>
    <row r="14" spans="1:5" ht="12.75">
      <c r="A14" s="3"/>
      <c r="D14" s="10"/>
      <c r="E14"/>
    </row>
    <row r="15" spans="1:5" ht="12.75">
      <c r="A15" s="4" t="s">
        <v>55</v>
      </c>
      <c r="B15" s="6">
        <f>D$5</f>
        <v>13.7</v>
      </c>
      <c r="C15" t="s">
        <v>37</v>
      </c>
      <c r="E15"/>
    </row>
    <row r="16" spans="1:5" ht="12.75">
      <c r="A16" s="4" t="s">
        <v>56</v>
      </c>
      <c r="B16" s="6">
        <f>D$7</f>
        <v>5.8</v>
      </c>
      <c r="C16" t="s">
        <v>37</v>
      </c>
      <c r="E16"/>
    </row>
    <row r="17" spans="1:12" ht="12.75">
      <c r="A17" s="5" t="s">
        <v>57</v>
      </c>
      <c r="B17" s="6">
        <f>B15/B16</f>
        <v>2.3620689655172415</v>
      </c>
      <c r="I17" s="12"/>
      <c r="J17" s="12"/>
      <c r="K17" s="12"/>
      <c r="L17" s="12"/>
    </row>
    <row r="18" spans="1:5" ht="12.75">
      <c r="A18" s="5" t="s">
        <v>58</v>
      </c>
      <c r="B18" s="6">
        <f>B16/B15</f>
        <v>0.4233576642335766</v>
      </c>
      <c r="E18"/>
    </row>
    <row r="19" spans="1:5" ht="14.25">
      <c r="A19" s="4" t="s">
        <v>59</v>
      </c>
      <c r="B19" s="1">
        <f>D$8*D$7</f>
        <v>58</v>
      </c>
      <c r="C19" t="s">
        <v>60</v>
      </c>
      <c r="E19"/>
    </row>
    <row r="20" spans="1:5" ht="12.75">
      <c r="A20" s="4"/>
      <c r="E20"/>
    </row>
    <row r="21" spans="5:16" ht="13.5" thickBot="1">
      <c r="E21"/>
      <c r="M21" s="18" t="s">
        <v>61</v>
      </c>
      <c r="N21" s="19" t="s">
        <v>62</v>
      </c>
      <c r="O21" s="18" t="s">
        <v>61</v>
      </c>
      <c r="P21" s="19" t="s">
        <v>63</v>
      </c>
    </row>
    <row r="22" spans="5:16" ht="13.5" thickBot="1">
      <c r="E22" s="57" t="s">
        <v>64</v>
      </c>
      <c r="F22" s="58"/>
      <c r="G22" s="59"/>
      <c r="H22" s="57" t="s">
        <v>65</v>
      </c>
      <c r="I22" s="58"/>
      <c r="J22" s="59"/>
      <c r="M22" s="54">
        <f>HLOOKUP($B$17,P1_1.82,'Barès 1.82'!K$36)</f>
        <v>7</v>
      </c>
      <c r="N22" s="21">
        <f>HLOOKUP($B$17,P1_1.82,1)</f>
        <v>2</v>
      </c>
      <c r="O22" s="22">
        <f>M22+1</f>
        <v>8</v>
      </c>
      <c r="P22" s="21">
        <f>HLOOKUP($O$22,P2_1.82,2)</f>
        <v>3</v>
      </c>
    </row>
    <row r="23" spans="1:21" s="77" customFormat="1" ht="26.25" thickBot="1">
      <c r="A23" s="68"/>
      <c r="B23" s="69"/>
      <c r="C23" s="70"/>
      <c r="D23" s="67" t="s">
        <v>66</v>
      </c>
      <c r="E23" s="71" t="s">
        <v>67</v>
      </c>
      <c r="F23" s="72" t="s">
        <v>68</v>
      </c>
      <c r="G23" s="73" t="s">
        <v>69</v>
      </c>
      <c r="H23" s="74" t="s">
        <v>67</v>
      </c>
      <c r="I23" s="72" t="s">
        <v>68</v>
      </c>
      <c r="J23" s="73" t="s">
        <v>69</v>
      </c>
      <c r="K23" s="73" t="s">
        <v>70</v>
      </c>
      <c r="L23" s="75"/>
      <c r="M23" s="76" t="s">
        <v>61</v>
      </c>
      <c r="N23" s="76" t="s">
        <v>71</v>
      </c>
      <c r="P23" s="76" t="s">
        <v>72</v>
      </c>
      <c r="S23" s="74" t="s">
        <v>73</v>
      </c>
      <c r="T23" s="74" t="s">
        <v>74</v>
      </c>
      <c r="U23" s="78" t="s">
        <v>75</v>
      </c>
    </row>
    <row r="24" spans="1:21" ht="15.75">
      <c r="A24" s="42" t="s">
        <v>79</v>
      </c>
      <c r="B24" s="46">
        <f aca="true" t="shared" si="0" ref="B24:B31">N24+(P24-N24)/(P$22-N$22)*(B$17-N$22)</f>
        <v>-0.0019736206896551725</v>
      </c>
      <c r="C24" s="47" t="s">
        <v>77</v>
      </c>
      <c r="D24" s="31">
        <f aca="true" t="shared" si="1" ref="D24:D31">B24*B$19*B$15^2</f>
        <v>-21.484874299999998</v>
      </c>
      <c r="E24" s="60">
        <f aca="true" t="shared" si="2" ref="E24:E31">(ABS($D24))/1000/$J$8/(($J$5-$J$9)*(1-(1.5/3*(1-SQRT(1-8/3*ABS($D24/1000/($J$5-$J$9)^2/$D$10))))))*10000</f>
        <v>3.980902673562661</v>
      </c>
      <c r="F24" s="33">
        <f aca="true" t="shared" si="3" ref="F24:F31">ABS($D24*6/$J$5^2)</f>
        <v>805.6827862499997</v>
      </c>
      <c r="G24" s="104">
        <f aca="true" t="shared" si="4" ref="G24:G31">ABS($D24/($J$5^2/6+1.33*E24*10^-4*($J$5/2-$J$9)^2*14*2/$J$5))</f>
        <v>779.6497136971376</v>
      </c>
      <c r="H24" s="32">
        <f aca="true" t="shared" si="5" ref="H24:H31">(ABS($S24))/1000/$J$8/(($J$5-$J$9)*(1-(1.5/3*(1-SQRT(1-8/3*ABS($S24/1000/($J$5-$J$9)^2/$D$10))))))*10000+T24/J$8*10</f>
        <v>5.499403747147994</v>
      </c>
      <c r="I24" s="33">
        <f aca="true" t="shared" si="6" ref="I24:I31">ABS($D24*6/$J$5^2)+T24/$J$5</f>
        <v>909.6587862499997</v>
      </c>
      <c r="J24" s="104">
        <f aca="true" t="shared" si="7" ref="J24:J31">ABS($D24/($J$5^2/6+1.33*H24*10^-4*($J$5/2-$J$9)^2*14*2/$J$5))+T24/($J$5+1.33*H24*10^-4*14)</f>
        <v>871.5380328542997</v>
      </c>
      <c r="K24" s="64">
        <f aca="true" t="shared" si="8" ref="K24:K31">1.1*U24*(0.06*$D$9+0.6)*1000</f>
        <v>4400</v>
      </c>
      <c r="M24">
        <v>4</v>
      </c>
      <c r="N24" s="10">
        <f aca="true" t="shared" si="9" ref="N24:N31">HLOOKUP(N$22,P1_1.82,$M24)</f>
        <v>-0.00218</v>
      </c>
      <c r="P24" s="10">
        <f aca="true" t="shared" si="10" ref="P24:P31">HLOOKUP(P$22,P1_1.82,$M24)</f>
        <v>-0.00161</v>
      </c>
      <c r="S24" s="1">
        <f aca="true" t="shared" si="11" ref="S24:S31">T24*(ABS(D24)/T24-J$5/2+J$9)</f>
        <v>15.038362299999998</v>
      </c>
      <c r="T24" s="1">
        <f>D84</f>
        <v>41.5904</v>
      </c>
      <c r="U24" s="6">
        <f aca="true" t="shared" si="12" ref="U24:U31">IF(T24&gt;0,IF(ABS(D24)/T24&lt;$J$5/2,1+(2*ABS(D24)/T24)/(3*$J$5),5/3),5/3)</f>
        <v>1.6666666666666667</v>
      </c>
    </row>
    <row r="25" spans="1:21" ht="15.75">
      <c r="A25" s="42" t="s">
        <v>80</v>
      </c>
      <c r="B25" s="46">
        <f t="shared" si="0"/>
        <v>0.0011470689655172412</v>
      </c>
      <c r="C25" s="47" t="s">
        <v>77</v>
      </c>
      <c r="D25" s="31">
        <f t="shared" si="1"/>
        <v>12.487015699999997</v>
      </c>
      <c r="E25" s="60">
        <f t="shared" si="2"/>
        <v>2.3074987670727354</v>
      </c>
      <c r="F25" s="33">
        <f t="shared" si="3"/>
        <v>468.2630887499998</v>
      </c>
      <c r="G25" s="104">
        <f t="shared" si="4"/>
        <v>459.37209243396916</v>
      </c>
      <c r="H25" s="32">
        <f t="shared" si="5"/>
        <v>3.8324325098849057</v>
      </c>
      <c r="I25" s="33">
        <f t="shared" si="6"/>
        <v>572.2390887499998</v>
      </c>
      <c r="J25" s="104">
        <f t="shared" si="7"/>
        <v>555.8329654453129</v>
      </c>
      <c r="K25" s="64">
        <f t="shared" si="8"/>
        <v>4400</v>
      </c>
      <c r="M25">
        <f aca="true" t="shared" si="13" ref="M25:M50">M24+1</f>
        <v>5</v>
      </c>
      <c r="N25" s="10">
        <f t="shared" si="9"/>
        <v>0.00152</v>
      </c>
      <c r="P25" s="10">
        <f t="shared" si="10"/>
        <v>0.00049</v>
      </c>
      <c r="S25" s="1">
        <f t="shared" si="11"/>
        <v>6.040503699999996</v>
      </c>
      <c r="T25" s="1">
        <f>T24</f>
        <v>41.5904</v>
      </c>
      <c r="U25" s="6">
        <f t="shared" si="12"/>
        <v>1.6666666666666667</v>
      </c>
    </row>
    <row r="26" spans="1:21" ht="15.75">
      <c r="A26" s="42" t="s">
        <v>81</v>
      </c>
      <c r="B26" s="46">
        <f t="shared" si="0"/>
        <v>-0.005552758620689654</v>
      </c>
      <c r="C26" s="47" t="s">
        <v>77</v>
      </c>
      <c r="D26" s="31">
        <f t="shared" si="1"/>
        <v>-60.447441399999974</v>
      </c>
      <c r="E26" s="60">
        <f t="shared" si="2"/>
        <v>11.334107880425133</v>
      </c>
      <c r="F26" s="33">
        <f t="shared" si="3"/>
        <v>2266.7790524999987</v>
      </c>
      <c r="G26" s="104">
        <f t="shared" si="4"/>
        <v>2069.9904138671873</v>
      </c>
      <c r="H26" s="32">
        <f t="shared" si="5"/>
        <v>14.029458883075083</v>
      </c>
      <c r="I26" s="33">
        <f t="shared" si="6"/>
        <v>2454.6910524999985</v>
      </c>
      <c r="J26" s="104">
        <f t="shared" si="7"/>
        <v>2204.5118310750704</v>
      </c>
      <c r="K26" s="64">
        <f t="shared" si="8"/>
        <v>4400</v>
      </c>
      <c r="M26">
        <f t="shared" si="13"/>
        <v>6</v>
      </c>
      <c r="N26" s="10">
        <f t="shared" si="9"/>
        <v>-0.00724</v>
      </c>
      <c r="P26" s="10">
        <f t="shared" si="10"/>
        <v>-0.00258</v>
      </c>
      <c r="S26" s="1">
        <f t="shared" si="11"/>
        <v>48.796897399999985</v>
      </c>
      <c r="T26" s="1">
        <f>D85</f>
        <v>75.16479999999999</v>
      </c>
      <c r="U26" s="6">
        <f t="shared" si="12"/>
        <v>1.6666666666666667</v>
      </c>
    </row>
    <row r="27" spans="1:21" ht="15.75">
      <c r="A27" s="42" t="s">
        <v>82</v>
      </c>
      <c r="B27" s="46">
        <f t="shared" si="0"/>
        <v>0.0018098275862068961</v>
      </c>
      <c r="C27" s="47" t="s">
        <v>77</v>
      </c>
      <c r="D27" s="31">
        <f t="shared" si="1"/>
        <v>19.701819299999993</v>
      </c>
      <c r="E27" s="60">
        <f t="shared" si="2"/>
        <v>3.648575016845487</v>
      </c>
      <c r="F27" s="33">
        <f t="shared" si="3"/>
        <v>738.8182237499996</v>
      </c>
      <c r="G27" s="104">
        <f t="shared" si="4"/>
        <v>716.8793810433991</v>
      </c>
      <c r="H27" s="32">
        <f t="shared" si="5"/>
        <v>6.3985861364872925</v>
      </c>
      <c r="I27" s="33">
        <f t="shared" si="6"/>
        <v>926.7302237499995</v>
      </c>
      <c r="J27" s="104">
        <f t="shared" si="7"/>
        <v>883.6627092093178</v>
      </c>
      <c r="K27" s="64">
        <f t="shared" si="8"/>
        <v>4400</v>
      </c>
      <c r="M27">
        <f t="shared" si="13"/>
        <v>7</v>
      </c>
      <c r="N27" s="10">
        <f t="shared" si="9"/>
        <v>0.0024</v>
      </c>
      <c r="P27" s="10">
        <f t="shared" si="10"/>
        <v>0.00077</v>
      </c>
      <c r="S27" s="1">
        <f t="shared" si="11"/>
        <v>8.051275299999995</v>
      </c>
      <c r="T27" s="1">
        <f>T26</f>
        <v>75.16479999999999</v>
      </c>
      <c r="U27" s="6">
        <f t="shared" si="12"/>
        <v>1.6666666666666667</v>
      </c>
    </row>
    <row r="28" spans="1:21" ht="15.75">
      <c r="A28" s="42" t="s">
        <v>83</v>
      </c>
      <c r="B28" s="46">
        <f t="shared" si="0"/>
        <v>-0.005348965517241379</v>
      </c>
      <c r="C28" s="47" t="s">
        <v>77</v>
      </c>
      <c r="D28" s="31">
        <f t="shared" si="1"/>
        <v>-58.22894559999998</v>
      </c>
      <c r="E28" s="60">
        <f t="shared" si="2"/>
        <v>10.910620761412591</v>
      </c>
      <c r="F28" s="33">
        <f t="shared" si="3"/>
        <v>2183.585459999999</v>
      </c>
      <c r="G28" s="104">
        <f t="shared" si="4"/>
        <v>2000.5083013917424</v>
      </c>
      <c r="H28" s="32">
        <f t="shared" si="5"/>
        <v>14.096248007641464</v>
      </c>
      <c r="I28" s="33">
        <f t="shared" si="6"/>
        <v>2405.3054599999987</v>
      </c>
      <c r="J28" s="104">
        <f t="shared" si="7"/>
        <v>2160.7733155055816</v>
      </c>
      <c r="K28" s="64">
        <f t="shared" si="8"/>
        <v>4400</v>
      </c>
      <c r="M28">
        <f t="shared" si="13"/>
        <v>8</v>
      </c>
      <c r="N28" s="10">
        <f t="shared" si="9"/>
        <v>-0.007</v>
      </c>
      <c r="P28" s="10">
        <f t="shared" si="10"/>
        <v>-0.00244</v>
      </c>
      <c r="S28" s="1">
        <f t="shared" si="11"/>
        <v>44.48230559999998</v>
      </c>
      <c r="T28" s="1">
        <f>D86</f>
        <v>88.68799999999999</v>
      </c>
      <c r="U28" s="6">
        <f t="shared" si="12"/>
        <v>1.6666666666666667</v>
      </c>
    </row>
    <row r="29" spans="1:21" ht="15.75">
      <c r="A29" s="42" t="s">
        <v>84</v>
      </c>
      <c r="B29" s="46">
        <f t="shared" si="0"/>
        <v>0.0015749999999999996</v>
      </c>
      <c r="C29" s="47" t="s">
        <v>77</v>
      </c>
      <c r="D29" s="31">
        <f t="shared" si="1"/>
        <v>17.145481499999992</v>
      </c>
      <c r="E29" s="60">
        <f t="shared" si="2"/>
        <v>3.172743502262925</v>
      </c>
      <c r="F29" s="33">
        <f t="shared" si="3"/>
        <v>642.9555562499996</v>
      </c>
      <c r="G29" s="104">
        <f t="shared" si="4"/>
        <v>626.2886927254641</v>
      </c>
      <c r="H29" s="32">
        <f t="shared" si="5"/>
        <v>6.422992416768501</v>
      </c>
      <c r="I29" s="33">
        <f t="shared" si="6"/>
        <v>864.6755562499995</v>
      </c>
      <c r="J29" s="104">
        <f t="shared" si="7"/>
        <v>825.3707500915784</v>
      </c>
      <c r="K29" s="64">
        <f t="shared" si="8"/>
        <v>3490.6237439112388</v>
      </c>
      <c r="M29">
        <f t="shared" si="13"/>
        <v>9</v>
      </c>
      <c r="N29" s="10">
        <f t="shared" si="9"/>
        <v>0.0021</v>
      </c>
      <c r="P29" s="10">
        <f t="shared" si="10"/>
        <v>0.00065</v>
      </c>
      <c r="S29" s="1">
        <f t="shared" si="11"/>
        <v>3.398841499999992</v>
      </c>
      <c r="T29" s="1">
        <f>T28</f>
        <v>88.68799999999999</v>
      </c>
      <c r="U29" s="6">
        <f t="shared" si="12"/>
        <v>1.322205963602742</v>
      </c>
    </row>
    <row r="30" spans="1:21" ht="15.75">
      <c r="A30" s="42" t="s">
        <v>85</v>
      </c>
      <c r="B30" s="46">
        <f t="shared" si="0"/>
        <v>-0.002593620689655172</v>
      </c>
      <c r="C30" s="47" t="s">
        <v>77</v>
      </c>
      <c r="D30" s="31">
        <f t="shared" si="1"/>
        <v>-28.23420669999999</v>
      </c>
      <c r="E30" s="60">
        <f t="shared" si="2"/>
        <v>5.242097900909804</v>
      </c>
      <c r="F30" s="33">
        <f t="shared" si="3"/>
        <v>1058.7827512499996</v>
      </c>
      <c r="G30" s="104">
        <f t="shared" si="4"/>
        <v>1014.1895545837289</v>
      </c>
      <c r="H30" s="32">
        <f t="shared" si="5"/>
        <v>7.169946771860442</v>
      </c>
      <c r="I30" s="33">
        <f t="shared" si="6"/>
        <v>1191.1587512499996</v>
      </c>
      <c r="J30" s="104">
        <f t="shared" si="7"/>
        <v>1126.8206607673626</v>
      </c>
      <c r="K30" s="64">
        <f t="shared" si="8"/>
        <v>4400</v>
      </c>
      <c r="M30">
        <f t="shared" si="13"/>
        <v>10</v>
      </c>
      <c r="N30" s="10">
        <f t="shared" si="9"/>
        <v>-0.00343</v>
      </c>
      <c r="P30" s="10">
        <f t="shared" si="10"/>
        <v>-0.00112</v>
      </c>
      <c r="S30" s="1">
        <f t="shared" si="11"/>
        <v>20.026894699999986</v>
      </c>
      <c r="T30" s="1">
        <f>D87</f>
        <v>52.9504</v>
      </c>
      <c r="U30" s="6">
        <f t="shared" si="12"/>
        <v>1.6666666666666667</v>
      </c>
    </row>
    <row r="31" spans="1:21" ht="15.75">
      <c r="A31" s="42" t="s">
        <v>86</v>
      </c>
      <c r="B31" s="46">
        <f t="shared" si="0"/>
        <v>0.00020586206896551718</v>
      </c>
      <c r="C31" s="47" t="s">
        <v>77</v>
      </c>
      <c r="D31" s="31">
        <f t="shared" si="1"/>
        <v>2.241018599999999</v>
      </c>
      <c r="E31" s="60">
        <f t="shared" si="2"/>
        <v>0.4128687274752315</v>
      </c>
      <c r="F31" s="33">
        <f t="shared" si="3"/>
        <v>84.03819749999995</v>
      </c>
      <c r="G31" s="104">
        <f t="shared" si="4"/>
        <v>83.74817500413621</v>
      </c>
      <c r="H31" s="32">
        <f t="shared" si="5"/>
        <v>4.561204754149296</v>
      </c>
      <c r="I31" s="33">
        <f t="shared" si="6"/>
        <v>216.41419749999994</v>
      </c>
      <c r="J31" s="104">
        <f t="shared" si="7"/>
        <v>210.5652999760849</v>
      </c>
      <c r="K31" s="64">
        <f t="shared" si="8"/>
        <v>2826.2211020124496</v>
      </c>
      <c r="M31">
        <f t="shared" si="13"/>
        <v>11</v>
      </c>
      <c r="N31" s="10">
        <f t="shared" si="9"/>
        <v>0.0003</v>
      </c>
      <c r="P31" s="10">
        <f t="shared" si="10"/>
        <v>4E-05</v>
      </c>
      <c r="S31" s="1">
        <f t="shared" si="11"/>
        <v>-5.966293400000001</v>
      </c>
      <c r="T31" s="1">
        <f>T30</f>
        <v>52.9504</v>
      </c>
      <c r="U31" s="6">
        <f t="shared" si="12"/>
        <v>1.0705382962168368</v>
      </c>
    </row>
    <row r="32" spans="1:16" ht="12.75">
      <c r="A32" s="42"/>
      <c r="B32" s="46"/>
      <c r="C32" s="47"/>
      <c r="D32" s="31"/>
      <c r="E32" s="60"/>
      <c r="F32" s="33"/>
      <c r="G32" s="104"/>
      <c r="H32" s="32"/>
      <c r="I32" s="33"/>
      <c r="J32" s="50"/>
      <c r="K32" s="65"/>
      <c r="M32">
        <f t="shared" si="13"/>
        <v>12</v>
      </c>
      <c r="N32" s="10"/>
      <c r="P32" s="10"/>
    </row>
    <row r="33" spans="1:21" ht="15.75">
      <c r="A33" s="42" t="s">
        <v>87</v>
      </c>
      <c r="B33" s="46">
        <f aca="true" t="shared" si="14" ref="B33:B39">N33+(P33-N33)/(P$22-N$22)*(B$17-N$22)</f>
        <v>0.01685</v>
      </c>
      <c r="C33" s="47" t="s">
        <v>88</v>
      </c>
      <c r="D33" s="31">
        <f aca="true" t="shared" si="15" ref="D33:D39">B33*B$19*B$16^2</f>
        <v>32.876372</v>
      </c>
      <c r="E33" s="60">
        <f aca="true" t="shared" si="16" ref="E33:E39">(ABS($D33))/1000/$J$8/(($J$5-$J$9)*(1-(1.5/3*(1-SQRT(1-8/3*ABS($D33/1000/($J$5-$J$9)^2/$D$10))))))*10000</f>
        <v>6.112549287250522</v>
      </c>
      <c r="F33" s="33">
        <f aca="true" t="shared" si="17" ref="F33:F39">ABS($D33*6/$J$5^2)</f>
        <v>1232.86395</v>
      </c>
      <c r="G33" s="104">
        <f aca="true" t="shared" si="18" ref="G33:G39">ABS($D33/($J$5^2/6+1.33*E33*10^-4*($J$5/2-$J$9)^2*14*2/$J$5))</f>
        <v>1172.7372407292323</v>
      </c>
      <c r="H33" s="32"/>
      <c r="I33" s="33"/>
      <c r="J33" s="50"/>
      <c r="K33" s="64">
        <f aca="true" t="shared" si="19" ref="K33:K39">1.1*U33*(0.06*$D$9+0.6)*1000</f>
        <v>4400</v>
      </c>
      <c r="M33">
        <f t="shared" si="13"/>
        <v>13</v>
      </c>
      <c r="N33" s="10">
        <f aca="true" t="shared" si="20" ref="N33:N39">HLOOKUP(N$22,P1_1.82,$M33)</f>
        <v>0.0158</v>
      </c>
      <c r="P33" s="10">
        <f aca="true" t="shared" si="21" ref="P33:P39">HLOOKUP(P$22,P1_1.82,$M33)</f>
        <v>0.0187</v>
      </c>
      <c r="U33" s="6">
        <f aca="true" t="shared" si="22" ref="U33:U39">5/3</f>
        <v>1.6666666666666667</v>
      </c>
    </row>
    <row r="34" spans="1:21" ht="15.75">
      <c r="A34" s="42" t="s">
        <v>89</v>
      </c>
      <c r="B34" s="46">
        <f t="shared" si="14"/>
        <v>0.02727586206896552</v>
      </c>
      <c r="C34" s="47" t="s">
        <v>88</v>
      </c>
      <c r="D34" s="31">
        <f t="shared" si="15"/>
        <v>53.21848000000001</v>
      </c>
      <c r="E34" s="60">
        <f t="shared" si="16"/>
        <v>9.956352392943256</v>
      </c>
      <c r="F34" s="33">
        <f t="shared" si="17"/>
        <v>1995.693</v>
      </c>
      <c r="G34" s="104">
        <f t="shared" si="18"/>
        <v>1841.8757853024074</v>
      </c>
      <c r="H34" s="32"/>
      <c r="I34" s="33"/>
      <c r="J34" s="50"/>
      <c r="K34" s="64">
        <f t="shared" si="19"/>
        <v>4400</v>
      </c>
      <c r="M34">
        <f t="shared" si="13"/>
        <v>14</v>
      </c>
      <c r="N34" s="10">
        <f t="shared" si="20"/>
        <v>0.0259</v>
      </c>
      <c r="P34" s="10">
        <f t="shared" si="21"/>
        <v>0.0297</v>
      </c>
      <c r="U34" s="6">
        <f t="shared" si="22"/>
        <v>1.6666666666666667</v>
      </c>
    </row>
    <row r="35" spans="1:21" ht="15.75">
      <c r="A35" s="42" t="s">
        <v>90</v>
      </c>
      <c r="B35" s="46">
        <f t="shared" si="14"/>
        <v>0.024151724137931034</v>
      </c>
      <c r="C35" s="47" t="s">
        <v>88</v>
      </c>
      <c r="D35" s="31">
        <f t="shared" si="15"/>
        <v>47.122912</v>
      </c>
      <c r="E35" s="60">
        <f t="shared" si="16"/>
        <v>8.799453826925248</v>
      </c>
      <c r="F35" s="33">
        <f t="shared" si="17"/>
        <v>1767.1091999999999</v>
      </c>
      <c r="G35" s="104">
        <f t="shared" si="18"/>
        <v>1645.648145690973</v>
      </c>
      <c r="H35" s="32"/>
      <c r="I35" s="33"/>
      <c r="J35" s="50"/>
      <c r="K35" s="64">
        <f t="shared" si="19"/>
        <v>4400</v>
      </c>
      <c r="M35">
        <f t="shared" si="13"/>
        <v>15</v>
      </c>
      <c r="N35" s="10">
        <f t="shared" si="20"/>
        <v>0.0235</v>
      </c>
      <c r="P35" s="10">
        <f t="shared" si="21"/>
        <v>0.0253</v>
      </c>
      <c r="U35" s="6">
        <f t="shared" si="22"/>
        <v>1.6666666666666667</v>
      </c>
    </row>
    <row r="36" spans="1:21" ht="15.75">
      <c r="A36" s="42" t="s">
        <v>91</v>
      </c>
      <c r="B36" s="46">
        <f t="shared" si="14"/>
        <v>-0.0014965517241379313</v>
      </c>
      <c r="C36" s="47" t="s">
        <v>88</v>
      </c>
      <c r="D36" s="31">
        <f t="shared" si="15"/>
        <v>-2.9199520000000008</v>
      </c>
      <c r="E36" s="60">
        <f t="shared" si="16"/>
        <v>0.5380579988171758</v>
      </c>
      <c r="F36" s="33">
        <f t="shared" si="17"/>
        <v>109.49820000000001</v>
      </c>
      <c r="G36" s="104">
        <f t="shared" si="18"/>
        <v>109.00624563408539</v>
      </c>
      <c r="H36" s="32"/>
      <c r="I36" s="33"/>
      <c r="J36" s="50"/>
      <c r="K36" s="64">
        <f t="shared" si="19"/>
        <v>4400</v>
      </c>
      <c r="M36">
        <f t="shared" si="13"/>
        <v>16</v>
      </c>
      <c r="N36" s="10">
        <f t="shared" si="20"/>
        <v>-0.0007</v>
      </c>
      <c r="P36" s="10">
        <f t="shared" si="21"/>
        <v>-0.0029</v>
      </c>
      <c r="U36" s="6">
        <f t="shared" si="22"/>
        <v>1.6666666666666667</v>
      </c>
    </row>
    <row r="37" spans="1:21" ht="15.75">
      <c r="A37" s="42" t="s">
        <v>92</v>
      </c>
      <c r="B37" s="46">
        <f t="shared" si="14"/>
        <v>-0.05505</v>
      </c>
      <c r="C37" s="47" t="s">
        <v>88</v>
      </c>
      <c r="D37" s="31">
        <f t="shared" si="15"/>
        <v>-107.40915600000001</v>
      </c>
      <c r="E37" s="60">
        <f t="shared" si="16"/>
        <v>20.442278195117957</v>
      </c>
      <c r="F37" s="33">
        <f t="shared" si="17"/>
        <v>4027.8433499999996</v>
      </c>
      <c r="G37" s="104">
        <f t="shared" si="18"/>
        <v>3438.298074563927</v>
      </c>
      <c r="H37" s="32"/>
      <c r="I37" s="33"/>
      <c r="J37" s="50"/>
      <c r="K37" s="64">
        <f t="shared" si="19"/>
        <v>4400</v>
      </c>
      <c r="M37">
        <f t="shared" si="13"/>
        <v>17</v>
      </c>
      <c r="N37" s="10">
        <f t="shared" si="20"/>
        <v>-0.0519</v>
      </c>
      <c r="P37" s="10">
        <f t="shared" si="21"/>
        <v>-0.0606</v>
      </c>
      <c r="U37" s="6">
        <f t="shared" si="22"/>
        <v>1.6666666666666667</v>
      </c>
    </row>
    <row r="38" spans="1:21" ht="15.75">
      <c r="A38" s="42" t="s">
        <v>93</v>
      </c>
      <c r="B38" s="46">
        <f t="shared" si="14"/>
        <v>-0.059591379310344826</v>
      </c>
      <c r="C38" s="47" t="s">
        <v>88</v>
      </c>
      <c r="D38" s="31">
        <f t="shared" si="15"/>
        <v>-116.269932</v>
      </c>
      <c r="E38" s="60">
        <f t="shared" si="16"/>
        <v>22.192778287465906</v>
      </c>
      <c r="F38" s="33">
        <f t="shared" si="17"/>
        <v>4360.122449999999</v>
      </c>
      <c r="G38" s="104">
        <f t="shared" si="18"/>
        <v>3675.870262710221</v>
      </c>
      <c r="H38" s="32"/>
      <c r="I38" s="33"/>
      <c r="J38" s="50"/>
      <c r="K38" s="64">
        <f t="shared" si="19"/>
        <v>4400</v>
      </c>
      <c r="M38">
        <f t="shared" si="13"/>
        <v>18</v>
      </c>
      <c r="N38" s="10">
        <f t="shared" si="20"/>
        <v>-0.0576</v>
      </c>
      <c r="P38" s="10">
        <f t="shared" si="21"/>
        <v>-0.0631</v>
      </c>
      <c r="U38" s="6">
        <f t="shared" si="22"/>
        <v>1.6666666666666667</v>
      </c>
    </row>
    <row r="39" spans="1:21" ht="15.75">
      <c r="A39" s="42" t="s">
        <v>94</v>
      </c>
      <c r="B39" s="46">
        <f t="shared" si="14"/>
        <v>-0.060893103448275865</v>
      </c>
      <c r="C39" s="47" t="s">
        <v>88</v>
      </c>
      <c r="D39" s="31">
        <f t="shared" si="15"/>
        <v>-118.809752</v>
      </c>
      <c r="E39" s="60">
        <f t="shared" si="16"/>
        <v>22.696479950786415</v>
      </c>
      <c r="F39" s="33">
        <f t="shared" si="17"/>
        <v>4455.365699999999</v>
      </c>
      <c r="G39" s="104">
        <f t="shared" si="18"/>
        <v>3742.8350651940546</v>
      </c>
      <c r="H39" s="32"/>
      <c r="I39" s="33"/>
      <c r="J39" s="50"/>
      <c r="K39" s="64">
        <f t="shared" si="19"/>
        <v>4400</v>
      </c>
      <c r="M39">
        <f t="shared" si="13"/>
        <v>19</v>
      </c>
      <c r="N39" s="10">
        <f t="shared" si="20"/>
        <v>-0.0593</v>
      </c>
      <c r="P39" s="10">
        <f t="shared" si="21"/>
        <v>-0.0637</v>
      </c>
      <c r="U39" s="6">
        <f t="shared" si="22"/>
        <v>1.6666666666666667</v>
      </c>
    </row>
    <row r="40" spans="1:16" ht="12.75">
      <c r="A40" s="42"/>
      <c r="B40" s="46"/>
      <c r="C40" s="47"/>
      <c r="D40" s="31"/>
      <c r="E40" s="60"/>
      <c r="F40" s="33"/>
      <c r="G40" s="34">
        <f>IF(ABS($D40)&gt;$J$10,"--&gt; As comprimés requis","")</f>
      </c>
      <c r="H40" s="32"/>
      <c r="I40" s="33"/>
      <c r="J40" s="50"/>
      <c r="K40" s="65"/>
      <c r="M40">
        <f t="shared" si="13"/>
        <v>20</v>
      </c>
      <c r="N40" s="10"/>
      <c r="P40" s="10"/>
    </row>
    <row r="41" spans="1:16" ht="15.75">
      <c r="A41" s="42" t="s">
        <v>95</v>
      </c>
      <c r="B41" s="46">
        <f aca="true" t="shared" si="23" ref="B41:B46">N41+(P41-N41)/(P$22-N$22)*(B$17-N$22)</f>
        <v>-0.03334827586206896</v>
      </c>
      <c r="C41" s="47" t="s">
        <v>96</v>
      </c>
      <c r="D41" s="31">
        <f aca="true" t="shared" si="24" ref="D41:D46">B41*B$19*B$15</f>
        <v>-26.498539999999995</v>
      </c>
      <c r="E41" s="61"/>
      <c r="F41" s="55"/>
      <c r="G41" s="56"/>
      <c r="H41" s="32"/>
      <c r="I41" s="33"/>
      <c r="J41" s="50"/>
      <c r="K41" s="65"/>
      <c r="M41">
        <f t="shared" si="13"/>
        <v>21</v>
      </c>
      <c r="N41" s="10">
        <f aca="true" t="shared" si="25" ref="N41:N46">HLOOKUP(N$22,P1_1.82,$M41)</f>
        <v>-0.0382</v>
      </c>
      <c r="P41" s="10">
        <f aca="true" t="shared" si="26" ref="P41:P46">HLOOKUP(P$22,P1_1.82,$M41)</f>
        <v>-0.0248</v>
      </c>
    </row>
    <row r="42" spans="1:16" ht="15.75">
      <c r="A42" s="42" t="s">
        <v>97</v>
      </c>
      <c r="B42" s="46">
        <f t="shared" si="23"/>
        <v>0.0566</v>
      </c>
      <c r="C42" s="47" t="s">
        <v>96</v>
      </c>
      <c r="D42" s="31">
        <f t="shared" si="24"/>
        <v>44.97436</v>
      </c>
      <c r="E42" s="61"/>
      <c r="F42" s="55"/>
      <c r="G42" s="56"/>
      <c r="H42" s="32"/>
      <c r="I42" s="33"/>
      <c r="J42" s="50"/>
      <c r="K42" s="65"/>
      <c r="M42">
        <f t="shared" si="13"/>
        <v>22</v>
      </c>
      <c r="N42" s="10">
        <f t="shared" si="25"/>
        <v>0.065</v>
      </c>
      <c r="P42" s="10">
        <f t="shared" si="26"/>
        <v>0.0418</v>
      </c>
    </row>
    <row r="43" spans="1:16" ht="15.75">
      <c r="A43" s="42" t="s">
        <v>98</v>
      </c>
      <c r="B43" s="46">
        <f t="shared" si="23"/>
        <v>0.09962758620689655</v>
      </c>
      <c r="C43" s="47" t="s">
        <v>96</v>
      </c>
      <c r="D43" s="31">
        <f t="shared" si="24"/>
        <v>79.16407999999998</v>
      </c>
      <c r="E43" s="61"/>
      <c r="F43" s="55"/>
      <c r="G43" s="56"/>
      <c r="H43" s="32"/>
      <c r="I43" s="33"/>
      <c r="J43" s="50"/>
      <c r="K43" s="65"/>
      <c r="M43">
        <f t="shared" si="13"/>
        <v>23</v>
      </c>
      <c r="N43" s="10">
        <f t="shared" si="25"/>
        <v>0.1144</v>
      </c>
      <c r="P43" s="10">
        <f t="shared" si="26"/>
        <v>0.0736</v>
      </c>
    </row>
    <row r="44" spans="1:16" ht="15.75">
      <c r="A44" s="42" t="s">
        <v>99</v>
      </c>
      <c r="B44" s="46">
        <f t="shared" si="23"/>
        <v>0.11258965517241379</v>
      </c>
      <c r="C44" s="47" t="s">
        <v>96</v>
      </c>
      <c r="D44" s="31">
        <f t="shared" si="24"/>
        <v>89.46373999999999</v>
      </c>
      <c r="E44" s="61"/>
      <c r="F44" s="55"/>
      <c r="G44" s="56"/>
      <c r="H44" s="32"/>
      <c r="I44" s="33"/>
      <c r="J44" s="50"/>
      <c r="K44" s="65"/>
      <c r="M44">
        <f t="shared" si="13"/>
        <v>24</v>
      </c>
      <c r="N44" s="10">
        <f t="shared" si="25"/>
        <v>0.1291</v>
      </c>
      <c r="P44" s="10">
        <f t="shared" si="26"/>
        <v>0.0835</v>
      </c>
    </row>
    <row r="45" spans="1:16" ht="15.75">
      <c r="A45" s="42" t="s">
        <v>100</v>
      </c>
      <c r="B45" s="46">
        <f t="shared" si="23"/>
        <v>0.06276206896551724</v>
      </c>
      <c r="C45" s="47" t="s">
        <v>96</v>
      </c>
      <c r="D45" s="31">
        <f t="shared" si="24"/>
        <v>49.87074</v>
      </c>
      <c r="E45" s="61"/>
      <c r="F45" s="55"/>
      <c r="G45" s="56"/>
      <c r="H45" s="32"/>
      <c r="I45" s="33"/>
      <c r="J45" s="50"/>
      <c r="K45" s="65"/>
      <c r="M45">
        <f t="shared" si="13"/>
        <v>25</v>
      </c>
      <c r="N45" s="10">
        <f t="shared" si="25"/>
        <v>0.0708</v>
      </c>
      <c r="P45" s="10">
        <f t="shared" si="26"/>
        <v>0.0486</v>
      </c>
    </row>
    <row r="46" spans="1:16" ht="15.75">
      <c r="A46" s="42" t="s">
        <v>101</v>
      </c>
      <c r="B46" s="46">
        <f t="shared" si="23"/>
        <v>-0.004937931034482758</v>
      </c>
      <c r="C46" s="47" t="s">
        <v>96</v>
      </c>
      <c r="D46" s="31">
        <f t="shared" si="24"/>
        <v>-3.9236799999999996</v>
      </c>
      <c r="E46" s="60"/>
      <c r="F46" s="33"/>
      <c r="G46" s="50"/>
      <c r="H46" s="32"/>
      <c r="I46" s="33"/>
      <c r="J46" s="50"/>
      <c r="K46" s="65"/>
      <c r="M46">
        <f t="shared" si="13"/>
        <v>26</v>
      </c>
      <c r="N46" s="10">
        <f t="shared" si="25"/>
        <v>-0.0074</v>
      </c>
      <c r="P46" s="10">
        <f t="shared" si="26"/>
        <v>-0.0006</v>
      </c>
    </row>
    <row r="47" spans="1:16" ht="12.75">
      <c r="A47" s="93"/>
      <c r="B47" s="94"/>
      <c r="C47" s="95"/>
      <c r="D47" s="96"/>
      <c r="E47" s="61"/>
      <c r="F47" s="55"/>
      <c r="G47" s="56"/>
      <c r="H47" s="97"/>
      <c r="I47" s="55"/>
      <c r="J47" s="98"/>
      <c r="K47" s="99"/>
      <c r="M47">
        <f t="shared" si="13"/>
        <v>27</v>
      </c>
      <c r="N47" s="10"/>
      <c r="P47" s="10"/>
    </row>
    <row r="48" spans="1:16" ht="15.75">
      <c r="A48" s="42" t="s">
        <v>102</v>
      </c>
      <c r="B48" s="46">
        <f>N48+(P48-N48)/(P$22-N$22)*(B$17-N$22)</f>
        <v>0.3833051724137931</v>
      </c>
      <c r="C48" s="47" t="s">
        <v>103</v>
      </c>
      <c r="D48" s="31">
        <f>B48*B$19*B$16</f>
        <v>128.94386</v>
      </c>
      <c r="E48" s="61"/>
      <c r="F48" s="55"/>
      <c r="G48" s="56"/>
      <c r="H48" s="97"/>
      <c r="I48" s="55"/>
      <c r="J48" s="98"/>
      <c r="K48" s="99"/>
      <c r="M48">
        <f t="shared" si="13"/>
        <v>28</v>
      </c>
      <c r="N48" s="10">
        <f>HLOOKUP(N$22,P1_1.82,$M48)</f>
        <v>0.3761</v>
      </c>
      <c r="P48" s="10">
        <f>HLOOKUP(P$22,P1_1.82,$M48)</f>
        <v>0.396</v>
      </c>
    </row>
    <row r="49" spans="1:16" ht="15.75">
      <c r="A49" s="42" t="s">
        <v>104</v>
      </c>
      <c r="B49" s="46">
        <f>N49+(P49-N49)/(P$22-N$22)*(B$17-N$22)</f>
        <v>0.39621034482758616</v>
      </c>
      <c r="C49" s="47" t="s">
        <v>103</v>
      </c>
      <c r="D49" s="31">
        <f>B49*B$19*B$16</f>
        <v>133.28515999999996</v>
      </c>
      <c r="E49" s="61"/>
      <c r="F49" s="55"/>
      <c r="G49" s="56"/>
      <c r="H49" s="97"/>
      <c r="I49" s="55"/>
      <c r="J49" s="98"/>
      <c r="K49" s="99"/>
      <c r="M49">
        <f t="shared" si="13"/>
        <v>29</v>
      </c>
      <c r="N49" s="10">
        <f>HLOOKUP(N$22,P1_1.82,$M49)</f>
        <v>0.3944</v>
      </c>
      <c r="P49" s="10">
        <f>HLOOKUP(P$22,P1_1.82,$M49)</f>
        <v>0.3994</v>
      </c>
    </row>
    <row r="50" spans="1:16" ht="16.5" thickBot="1">
      <c r="A50" s="43" t="s">
        <v>105</v>
      </c>
      <c r="B50" s="48">
        <f>N50+(P50-N50)/(P$22-N$22)*(B$17-N$22)</f>
        <v>0.3991258620689655</v>
      </c>
      <c r="C50" s="49" t="s">
        <v>103</v>
      </c>
      <c r="D50" s="35">
        <f>B50*B$19*B$16</f>
        <v>134.26594</v>
      </c>
      <c r="E50" s="62"/>
      <c r="F50" s="37"/>
      <c r="G50" s="51"/>
      <c r="H50" s="36"/>
      <c r="I50" s="37"/>
      <c r="J50" s="51"/>
      <c r="K50" s="66"/>
      <c r="M50">
        <f t="shared" si="13"/>
        <v>30</v>
      </c>
      <c r="N50" s="10">
        <f>HLOOKUP(N$22,P1_1.82,$M50)</f>
        <v>0.3988</v>
      </c>
      <c r="P50" s="10">
        <f>HLOOKUP(P$22,P1_1.82,$M50)</f>
        <v>0.3997</v>
      </c>
    </row>
    <row r="51" spans="1:5" ht="12.75">
      <c r="A51" s="4"/>
      <c r="E51"/>
    </row>
    <row r="53" spans="1:5" ht="12.75">
      <c r="A53" s="3" t="s">
        <v>106</v>
      </c>
      <c r="D53" t="s">
        <v>148</v>
      </c>
      <c r="E53"/>
    </row>
    <row r="54" spans="1:5" ht="12.75">
      <c r="A54" s="3"/>
      <c r="E54"/>
    </row>
    <row r="55" spans="1:5" ht="12.75">
      <c r="A55" s="3"/>
      <c r="D55" s="10"/>
      <c r="E55"/>
    </row>
    <row r="56" spans="1:5" ht="12.75">
      <c r="A56" s="4" t="s">
        <v>55</v>
      </c>
      <c r="B56" s="6">
        <f>D$6</f>
        <v>8</v>
      </c>
      <c r="C56" t="s">
        <v>37</v>
      </c>
      <c r="E56"/>
    </row>
    <row r="57" spans="1:5" ht="12.75">
      <c r="A57" s="4" t="s">
        <v>56</v>
      </c>
      <c r="B57" s="6">
        <f>D$7</f>
        <v>5.8</v>
      </c>
      <c r="C57" t="s">
        <v>37</v>
      </c>
      <c r="E57"/>
    </row>
    <row r="58" spans="1:14" ht="12.75">
      <c r="A58" s="5" t="s">
        <v>57</v>
      </c>
      <c r="B58" s="6">
        <f>B56/B57</f>
        <v>1.3793103448275863</v>
      </c>
      <c r="M58" s="12"/>
      <c r="N58" s="12"/>
    </row>
    <row r="59" spans="1:5" ht="12.75">
      <c r="A59" s="5" t="s">
        <v>58</v>
      </c>
      <c r="B59" s="6">
        <f>B57/B56</f>
        <v>0.725</v>
      </c>
      <c r="E59"/>
    </row>
    <row r="60" spans="1:5" ht="14.25">
      <c r="A60" s="4" t="s">
        <v>59</v>
      </c>
      <c r="B60" s="1">
        <f>D$8*D$7</f>
        <v>58</v>
      </c>
      <c r="C60" t="s">
        <v>60</v>
      </c>
      <c r="E60"/>
    </row>
    <row r="61" ht="12.75">
      <c r="E61"/>
    </row>
    <row r="62" ht="12.75">
      <c r="E62"/>
    </row>
    <row r="63" spans="5:16" ht="13.5" thickBot="1">
      <c r="E63"/>
      <c r="M63" s="18" t="s">
        <v>61</v>
      </c>
      <c r="N63" s="19" t="s">
        <v>62</v>
      </c>
      <c r="O63" s="18" t="s">
        <v>61</v>
      </c>
      <c r="P63" s="19" t="s">
        <v>63</v>
      </c>
    </row>
    <row r="64" spans="5:16" ht="13.5" thickBot="1">
      <c r="E64" s="57" t="s">
        <v>64</v>
      </c>
      <c r="F64" s="58"/>
      <c r="G64" s="59"/>
      <c r="H64" s="57" t="s">
        <v>65</v>
      </c>
      <c r="I64" s="58"/>
      <c r="J64" s="59"/>
      <c r="M64" s="54">
        <f>HLOOKUP($B$58,P1_1.82,'Barès 1.82'!K$36)</f>
        <v>5</v>
      </c>
      <c r="N64" s="21">
        <f>HLOOKUP($B$58,P1_1.82,1)</f>
        <v>1</v>
      </c>
      <c r="O64" s="22">
        <f>M64+1</f>
        <v>6</v>
      </c>
      <c r="P64" s="21">
        <f>HLOOKUP($O$64,P2_1.82,2)</f>
        <v>1.5</v>
      </c>
    </row>
    <row r="65" spans="1:21" s="77" customFormat="1" ht="26.25" thickBot="1">
      <c r="A65" s="68"/>
      <c r="B65" s="69"/>
      <c r="C65" s="70"/>
      <c r="D65" s="67" t="s">
        <v>66</v>
      </c>
      <c r="E65" s="71" t="s">
        <v>67</v>
      </c>
      <c r="F65" s="72" t="s">
        <v>68</v>
      </c>
      <c r="G65" s="73" t="s">
        <v>69</v>
      </c>
      <c r="H65" s="74" t="s">
        <v>67</v>
      </c>
      <c r="I65" s="72" t="s">
        <v>68</v>
      </c>
      <c r="J65" s="73" t="s">
        <v>69</v>
      </c>
      <c r="K65" s="73" t="s">
        <v>70</v>
      </c>
      <c r="M65" s="76" t="s">
        <v>61</v>
      </c>
      <c r="N65" s="76" t="s">
        <v>71</v>
      </c>
      <c r="P65" s="76" t="s">
        <v>72</v>
      </c>
      <c r="S65" s="74" t="s">
        <v>73</v>
      </c>
      <c r="T65" s="74" t="s">
        <v>74</v>
      </c>
      <c r="U65" s="78" t="s">
        <v>75</v>
      </c>
    </row>
    <row r="66" spans="1:21" ht="15.75">
      <c r="A66" s="42" t="s">
        <v>79</v>
      </c>
      <c r="B66" s="46">
        <f aca="true" t="shared" si="27" ref="B66:B73">N66+(P66-N66)/(P$64-N$64)*(B$58-N$64)</f>
        <v>-0.009446896551724138</v>
      </c>
      <c r="C66" s="47" t="s">
        <v>77</v>
      </c>
      <c r="D66" s="31">
        <f aca="true" t="shared" si="28" ref="D66:D73">B66*B$19*B$56^2</f>
        <v>-35.066880000000005</v>
      </c>
      <c r="E66" s="60">
        <f aca="true" t="shared" si="29" ref="E66:E73">(ABS($D66))/1000/$J$8/(($J$6-$J$9)*(1-(1.5/3*(1-SQRT(1-8/3*ABS($D66/1000/($J$6-$J$9)^2/$D$10))))))*10000</f>
        <v>5.704676954814283</v>
      </c>
      <c r="F66" s="33">
        <f aca="true" t="shared" si="30" ref="F66:F73">ABS(D66*6/$J$6^2)</f>
        <v>1039.0186666666668</v>
      </c>
      <c r="G66" s="50">
        <f aca="true" t="shared" si="31" ref="G66:G73">ABS($D66/($J$6^2/6+1.33*E66*10^-4*($J$6/2-$J$9)^2*14*2/$J$6))</f>
        <v>993.970914599895</v>
      </c>
      <c r="H66" s="32">
        <f aca="true" t="shared" si="32" ref="H66:H73">(ABS($S66))/1000/$J$8/(($J$6-$J$9)*(1-(1.5/3*(1-SQRT(1-8/3*ABS($S66/1000/($J$6-$J$9)^2/$D$10))))))*10000+T66/J$8*10</f>
        <v>7.319035654574531</v>
      </c>
      <c r="I66" s="33">
        <f aca="true" t="shared" si="33" ref="I66:I73">ABS($D66*6/$J$6^2)+T66/$J$6</f>
        <v>1138.961688888889</v>
      </c>
      <c r="J66" s="50">
        <f aca="true" t="shared" si="34" ref="J66:J73">ABS($D66/($J$6^2/6+1.33*H66*10^-4*($J$6/2-$J$9)^2*14*2/$J$6))+T66/($J$6+1.33*H66*10^-4*14)</f>
        <v>1078.928692193399</v>
      </c>
      <c r="K66" s="64">
        <f aca="true" t="shared" si="35" ref="K66:K73">1.1*U66*(0.06*$D$9+0.6)*1000</f>
        <v>4400</v>
      </c>
      <c r="M66">
        <v>4</v>
      </c>
      <c r="N66" s="10">
        <f aca="true" t="shared" si="36" ref="N66:N73">HLOOKUP(N$64,P1_1.82,$M66)</f>
        <v>-0.0139</v>
      </c>
      <c r="P66" s="10">
        <f aca="true" t="shared" si="37" ref="P66:P73">HLOOKUP(P$64,P1_1.82,$M66)</f>
        <v>-0.00803</v>
      </c>
      <c r="S66" s="1">
        <f aca="true" t="shared" si="38" ref="S66:S73">T66*(ABS(D66)/T66-$J$6/2+J$9)</f>
        <v>26.971495200000007</v>
      </c>
      <c r="T66" s="1">
        <f>D42</f>
        <v>44.97436</v>
      </c>
      <c r="U66" s="6">
        <f aca="true" t="shared" si="39" ref="U66:U73">IF(T66&gt;0,IF(ABS(D66)/T66&lt;$J$6,1+(2*ABS(D66)/T66)/(3*$J$6),5/3),5/3)</f>
        <v>1.6666666666666667</v>
      </c>
    </row>
    <row r="67" spans="1:21" ht="15.75">
      <c r="A67" s="42" t="s">
        <v>80</v>
      </c>
      <c r="B67" s="46">
        <f t="shared" si="27"/>
        <v>0.00410551724137931</v>
      </c>
      <c r="C67" s="47" t="s">
        <v>77</v>
      </c>
      <c r="D67" s="31">
        <f t="shared" si="28"/>
        <v>15.23968</v>
      </c>
      <c r="E67" s="60">
        <f t="shared" si="29"/>
        <v>2.467923164682409</v>
      </c>
      <c r="F67" s="33">
        <f t="shared" si="30"/>
        <v>451.54607407407406</v>
      </c>
      <c r="G67" s="50">
        <f t="shared" si="31"/>
        <v>442.8630800490526</v>
      </c>
      <c r="H67" s="32">
        <f t="shared" si="32"/>
        <v>4.09432315697152</v>
      </c>
      <c r="I67" s="33">
        <f t="shared" si="33"/>
        <v>551.4890962962962</v>
      </c>
      <c r="J67" s="50">
        <f t="shared" si="34"/>
        <v>535.5991716596717</v>
      </c>
      <c r="K67" s="64">
        <f t="shared" si="35"/>
        <v>3965.290271563126</v>
      </c>
      <c r="M67">
        <f aca="true" t="shared" si="40" ref="M67:M92">M66+1</f>
        <v>5</v>
      </c>
      <c r="N67" s="10">
        <f t="shared" si="36"/>
        <v>0.0067</v>
      </c>
      <c r="P67" s="10">
        <f t="shared" si="37"/>
        <v>0.00328</v>
      </c>
      <c r="S67" s="1">
        <f t="shared" si="38"/>
        <v>7.144295200000001</v>
      </c>
      <c r="T67" s="1">
        <f>T66</f>
        <v>44.97436</v>
      </c>
      <c r="U67" s="6">
        <f t="shared" si="39"/>
        <v>1.5020038907436082</v>
      </c>
    </row>
    <row r="68" spans="1:21" ht="15.75">
      <c r="A68" s="42" t="s">
        <v>81</v>
      </c>
      <c r="B68" s="46">
        <f t="shared" si="27"/>
        <v>-0.016041379310344828</v>
      </c>
      <c r="C68" s="47" t="s">
        <v>77</v>
      </c>
      <c r="D68" s="31">
        <f t="shared" si="28"/>
        <v>-59.5456</v>
      </c>
      <c r="E68" s="60">
        <f t="shared" si="29"/>
        <v>9.742354522577235</v>
      </c>
      <c r="F68" s="33">
        <f t="shared" si="30"/>
        <v>1764.314074074074</v>
      </c>
      <c r="G68" s="50">
        <f t="shared" si="31"/>
        <v>1637.5687725273579</v>
      </c>
      <c r="H68" s="32">
        <f t="shared" si="32"/>
        <v>12.560401543758479</v>
      </c>
      <c r="I68" s="33">
        <f t="shared" si="33"/>
        <v>1940.2342518518517</v>
      </c>
      <c r="J68" s="50">
        <f t="shared" si="34"/>
        <v>1771.4621413285367</v>
      </c>
      <c r="K68" s="64">
        <f t="shared" si="35"/>
        <v>4400</v>
      </c>
      <c r="M68">
        <f t="shared" si="40"/>
        <v>6</v>
      </c>
      <c r="N68" s="10">
        <f t="shared" si="36"/>
        <v>-0.0245</v>
      </c>
      <c r="P68" s="10">
        <f t="shared" si="37"/>
        <v>-0.01335</v>
      </c>
      <c r="S68" s="1">
        <f t="shared" si="38"/>
        <v>45.296065600000006</v>
      </c>
      <c r="T68" s="1">
        <f>D43</f>
        <v>79.16407999999998</v>
      </c>
      <c r="U68" s="6">
        <f t="shared" si="39"/>
        <v>1.6666666666666667</v>
      </c>
    </row>
    <row r="69" spans="1:21" ht="15.75">
      <c r="A69" s="42" t="s">
        <v>82</v>
      </c>
      <c r="B69" s="46">
        <f t="shared" si="27"/>
        <v>0.006749655172413793</v>
      </c>
      <c r="C69" s="47" t="s">
        <v>77</v>
      </c>
      <c r="D69" s="31">
        <f t="shared" si="28"/>
        <v>25.05472</v>
      </c>
      <c r="E69" s="60">
        <f t="shared" si="29"/>
        <v>4.066503841161929</v>
      </c>
      <c r="F69" s="33">
        <f t="shared" si="30"/>
        <v>742.362074074074</v>
      </c>
      <c r="G69" s="50">
        <f t="shared" si="31"/>
        <v>719.1295335492855</v>
      </c>
      <c r="H69" s="32">
        <f t="shared" si="32"/>
        <v>6.922154470642771</v>
      </c>
      <c r="I69" s="33">
        <f t="shared" si="33"/>
        <v>918.2822518518518</v>
      </c>
      <c r="J69" s="50">
        <f t="shared" si="34"/>
        <v>874.6869273699242</v>
      </c>
      <c r="K69" s="64">
        <f t="shared" si="35"/>
        <v>3877.8315238145606</v>
      </c>
      <c r="M69">
        <f t="shared" si="40"/>
        <v>7</v>
      </c>
      <c r="N69" s="10">
        <f t="shared" si="36"/>
        <v>0.0114</v>
      </c>
      <c r="P69" s="10">
        <f t="shared" si="37"/>
        <v>0.00527</v>
      </c>
      <c r="S69" s="1">
        <f t="shared" si="38"/>
        <v>10.805185600000005</v>
      </c>
      <c r="T69" s="1">
        <f>T68</f>
        <v>79.16407999999998</v>
      </c>
      <c r="U69" s="6">
        <f t="shared" si="39"/>
        <v>1.468875577202485</v>
      </c>
    </row>
    <row r="70" spans="1:21" ht="15.75">
      <c r="A70" s="42" t="s">
        <v>83</v>
      </c>
      <c r="B70" s="46">
        <f t="shared" si="27"/>
        <v>-0.016658620689655172</v>
      </c>
      <c r="C70" s="47" t="s">
        <v>77</v>
      </c>
      <c r="D70" s="31">
        <f t="shared" si="28"/>
        <v>-61.8368</v>
      </c>
      <c r="E70" s="60">
        <f t="shared" si="29"/>
        <v>10.122682753511135</v>
      </c>
      <c r="F70" s="33">
        <f t="shared" si="30"/>
        <v>1832.2014814814813</v>
      </c>
      <c r="G70" s="50">
        <f t="shared" si="31"/>
        <v>1695.8233811789848</v>
      </c>
      <c r="H70" s="32">
        <f t="shared" si="32"/>
        <v>13.305644529561064</v>
      </c>
      <c r="I70" s="33">
        <f t="shared" si="33"/>
        <v>2031.0097925925925</v>
      </c>
      <c r="J70" s="50">
        <f t="shared" si="34"/>
        <v>1845.4744078410172</v>
      </c>
      <c r="K70" s="64">
        <f t="shared" si="35"/>
        <v>4400</v>
      </c>
      <c r="M70">
        <f t="shared" si="40"/>
        <v>8</v>
      </c>
      <c r="N70" s="10">
        <f t="shared" si="36"/>
        <v>-0.0269</v>
      </c>
      <c r="P70" s="10">
        <f t="shared" si="37"/>
        <v>-0.0134</v>
      </c>
      <c r="S70" s="1">
        <f t="shared" si="38"/>
        <v>45.7333268</v>
      </c>
      <c r="T70" s="1">
        <f>D44</f>
        <v>89.46373999999999</v>
      </c>
      <c r="U70" s="6">
        <f t="shared" si="39"/>
        <v>1.6666666666666667</v>
      </c>
    </row>
    <row r="71" spans="1:21" ht="15.75">
      <c r="A71" s="42" t="s">
        <v>84</v>
      </c>
      <c r="B71" s="46">
        <f t="shared" si="27"/>
        <v>0.00653655172413793</v>
      </c>
      <c r="C71" s="47" t="s">
        <v>77</v>
      </c>
      <c r="D71" s="31">
        <f t="shared" si="28"/>
        <v>24.263679999999997</v>
      </c>
      <c r="E71" s="60">
        <f t="shared" si="29"/>
        <v>3.937398847896375</v>
      </c>
      <c r="F71" s="33">
        <f t="shared" si="30"/>
        <v>718.9238518518517</v>
      </c>
      <c r="G71" s="50">
        <f t="shared" si="31"/>
        <v>697.1174624465401</v>
      </c>
      <c r="H71" s="32">
        <f t="shared" si="32"/>
        <v>7.166644563026878</v>
      </c>
      <c r="I71" s="33">
        <f t="shared" si="33"/>
        <v>917.7321629629628</v>
      </c>
      <c r="J71" s="50">
        <f t="shared" si="34"/>
        <v>873.279070182195</v>
      </c>
      <c r="K71" s="64">
        <f t="shared" si="35"/>
        <v>3700.742021789436</v>
      </c>
      <c r="M71">
        <f t="shared" si="40"/>
        <v>9</v>
      </c>
      <c r="N71" s="10">
        <f t="shared" si="36"/>
        <v>0.0119</v>
      </c>
      <c r="P71" s="10">
        <f t="shared" si="37"/>
        <v>0.00483</v>
      </c>
      <c r="S71" s="1">
        <f t="shared" si="38"/>
        <v>8.160206800000001</v>
      </c>
      <c r="T71" s="1">
        <f>T70</f>
        <v>89.46373999999999</v>
      </c>
      <c r="U71" s="6">
        <f t="shared" si="39"/>
        <v>1.4017962203747865</v>
      </c>
    </row>
    <row r="72" spans="1:21" ht="15.75">
      <c r="A72" s="42" t="s">
        <v>85</v>
      </c>
      <c r="B72" s="46">
        <f t="shared" si="27"/>
        <v>-0.009057241379310344</v>
      </c>
      <c r="C72" s="47" t="s">
        <v>77</v>
      </c>
      <c r="D72" s="31">
        <f t="shared" si="28"/>
        <v>-33.62048</v>
      </c>
      <c r="E72" s="60">
        <f t="shared" si="29"/>
        <v>5.467548082176717</v>
      </c>
      <c r="F72" s="33">
        <f t="shared" si="30"/>
        <v>996.1623703703704</v>
      </c>
      <c r="G72" s="50">
        <f t="shared" si="31"/>
        <v>954.6932471492568</v>
      </c>
      <c r="H72" s="32">
        <f t="shared" si="32"/>
        <v>7.258948843160587</v>
      </c>
      <c r="I72" s="33">
        <f t="shared" si="33"/>
        <v>1106.986237037037</v>
      </c>
      <c r="J72" s="50">
        <f t="shared" si="34"/>
        <v>1049.4392658430181</v>
      </c>
      <c r="K72" s="64">
        <f t="shared" si="35"/>
        <v>4400</v>
      </c>
      <c r="M72">
        <f t="shared" si="40"/>
        <v>10</v>
      </c>
      <c r="N72" s="10">
        <f t="shared" si="36"/>
        <v>-0.0159</v>
      </c>
      <c r="P72" s="10">
        <f t="shared" si="37"/>
        <v>-0.00688</v>
      </c>
      <c r="S72" s="1">
        <f t="shared" si="38"/>
        <v>24.643746800000002</v>
      </c>
      <c r="T72" s="1">
        <f>D45</f>
        <v>49.87074</v>
      </c>
      <c r="U72" s="6">
        <f t="shared" si="39"/>
        <v>1.6666666666666667</v>
      </c>
    </row>
    <row r="73" spans="1:21" ht="15.75">
      <c r="A73" s="42" t="s">
        <v>86</v>
      </c>
      <c r="B73" s="46">
        <f t="shared" si="27"/>
        <v>0.0024531034482758616</v>
      </c>
      <c r="C73" s="47" t="s">
        <v>77</v>
      </c>
      <c r="D73" s="31">
        <f t="shared" si="28"/>
        <v>9.105919999999998</v>
      </c>
      <c r="E73" s="60">
        <f t="shared" si="29"/>
        <v>1.4725603684524886</v>
      </c>
      <c r="F73" s="33">
        <f t="shared" si="30"/>
        <v>269.8050370370369</v>
      </c>
      <c r="G73" s="50">
        <f t="shared" si="31"/>
        <v>266.6851396103347</v>
      </c>
      <c r="H73" s="32">
        <f t="shared" si="32"/>
        <v>3.2803744482639203</v>
      </c>
      <c r="I73" s="33">
        <f t="shared" si="33"/>
        <v>380.6289037037036</v>
      </c>
      <c r="J73" s="50">
        <f t="shared" si="34"/>
        <v>372.29197534645647</v>
      </c>
      <c r="K73" s="64">
        <f t="shared" si="35"/>
        <v>3354.1314704551987</v>
      </c>
      <c r="M73">
        <f t="shared" si="40"/>
        <v>11</v>
      </c>
      <c r="N73" s="10">
        <f t="shared" si="36"/>
        <v>0.0057</v>
      </c>
      <c r="P73" s="10">
        <f t="shared" si="37"/>
        <v>0.00142</v>
      </c>
      <c r="S73" s="1">
        <f t="shared" si="38"/>
        <v>0.12918679999999794</v>
      </c>
      <c r="T73" s="1">
        <f>T72</f>
        <v>49.87074</v>
      </c>
      <c r="U73" s="6">
        <f t="shared" si="39"/>
        <v>1.2705043448693933</v>
      </c>
    </row>
    <row r="74" spans="1:21" ht="12.75">
      <c r="A74" s="42"/>
      <c r="B74" s="46"/>
      <c r="C74" s="47"/>
      <c r="D74" s="31"/>
      <c r="E74" s="60"/>
      <c r="F74" s="33"/>
      <c r="G74" s="50"/>
      <c r="H74" s="32"/>
      <c r="I74" s="33"/>
      <c r="J74" s="50"/>
      <c r="K74" s="65"/>
      <c r="M74">
        <f t="shared" si="40"/>
        <v>12</v>
      </c>
      <c r="N74" s="10"/>
      <c r="P74" s="10"/>
      <c r="U74" s="6"/>
    </row>
    <row r="75" spans="1:21" ht="15.75">
      <c r="A75" s="42" t="s">
        <v>87</v>
      </c>
      <c r="B75" s="46">
        <f aca="true" t="shared" si="41" ref="B75:B81">N75+(P75-N75)/(P$64-N$64)*(B$58-N$64)</f>
        <v>0.00963448275862069</v>
      </c>
      <c r="C75" s="47" t="s">
        <v>88</v>
      </c>
      <c r="D75" s="31">
        <f aca="true" t="shared" si="42" ref="D75:D81">B75*B$19*B$57^2</f>
        <v>18.798032000000003</v>
      </c>
      <c r="E75" s="60">
        <f aca="true" t="shared" si="43" ref="E75:E81">(ABS($D75))/1000/$J$8/(($J$6-$J$9)*(1-(1.5/3*(1-SQRT(1-8/3*ABS($D75/1000/($J$6-$J$9)^2/$D$10))))))*10000</f>
        <v>3.0466403764135053</v>
      </c>
      <c r="F75" s="33">
        <f aca="true" t="shared" si="44" ref="F75:F81">ABS(D75*6/$J$6^2)</f>
        <v>556.9787259259259</v>
      </c>
      <c r="G75" s="50">
        <f aca="true" t="shared" si="45" ref="G75:G81">ABS($D75/($J$6^2/6+1.33*E75*10^-4*($J$6/2-$J$9)^2*14*2/$J$6))</f>
        <v>543.8161264291929</v>
      </c>
      <c r="H75" s="32"/>
      <c r="I75" s="33"/>
      <c r="J75" s="50"/>
      <c r="K75" s="64">
        <f aca="true" t="shared" si="46" ref="K75:K81">1.1*U75*(0.06*$D$9+0.6)*1000</f>
        <v>4400</v>
      </c>
      <c r="M75">
        <f t="shared" si="40"/>
        <v>13</v>
      </c>
      <c r="N75" s="10">
        <f aca="true" t="shared" si="47" ref="N75:N81">HLOOKUP(N$64,P1_1.82,$M75)</f>
        <v>0.0044</v>
      </c>
      <c r="P75" s="10">
        <f aca="true" t="shared" si="48" ref="P75:P81">HLOOKUP(P$64,P1_1.82,$M75)</f>
        <v>0.0113</v>
      </c>
      <c r="U75" s="6">
        <f aca="true" t="shared" si="49" ref="U75:U81">IF(T75&gt;0,IF(ABS(D75)/T75&lt;$J$6,1+(2*ABS(D75)/T75)/(3*$J$6),5/3),5/3)</f>
        <v>1.6666666666666667</v>
      </c>
    </row>
    <row r="76" spans="1:21" ht="15.75">
      <c r="A76" s="42" t="s">
        <v>89</v>
      </c>
      <c r="B76" s="46">
        <f t="shared" si="41"/>
        <v>0.017017241379310346</v>
      </c>
      <c r="C76" s="47" t="s">
        <v>88</v>
      </c>
      <c r="D76" s="31">
        <f t="shared" si="42"/>
        <v>33.20268</v>
      </c>
      <c r="E76" s="60">
        <f t="shared" si="43"/>
        <v>5.3990819404311425</v>
      </c>
      <c r="F76" s="33">
        <f t="shared" si="44"/>
        <v>983.7831111111111</v>
      </c>
      <c r="G76" s="50">
        <f t="shared" si="45"/>
        <v>943.321064800963</v>
      </c>
      <c r="H76" s="32"/>
      <c r="I76" s="33"/>
      <c r="J76" s="50"/>
      <c r="K76" s="64">
        <f t="shared" si="46"/>
        <v>4400</v>
      </c>
      <c r="M76">
        <f t="shared" si="40"/>
        <v>14</v>
      </c>
      <c r="N76" s="10">
        <f t="shared" si="47"/>
        <v>0.0089</v>
      </c>
      <c r="P76" s="10">
        <f t="shared" si="48"/>
        <v>0.0196</v>
      </c>
      <c r="U76" s="6">
        <f t="shared" si="49"/>
        <v>1.6666666666666667</v>
      </c>
    </row>
    <row r="77" spans="1:21" ht="15.75">
      <c r="A77" s="42" t="s">
        <v>90</v>
      </c>
      <c r="B77" s="46">
        <f t="shared" si="41"/>
        <v>0.017820689655172417</v>
      </c>
      <c r="C77" s="47" t="s">
        <v>88</v>
      </c>
      <c r="D77" s="31">
        <f t="shared" si="42"/>
        <v>34.77030400000001</v>
      </c>
      <c r="E77" s="60">
        <f t="shared" si="43"/>
        <v>5.656042013001224</v>
      </c>
      <c r="F77" s="33">
        <f t="shared" si="44"/>
        <v>1030.2312296296298</v>
      </c>
      <c r="G77" s="50">
        <f t="shared" si="45"/>
        <v>985.9288949987143</v>
      </c>
      <c r="H77" s="32"/>
      <c r="I77" s="33"/>
      <c r="J77" s="50"/>
      <c r="K77" s="64">
        <f t="shared" si="46"/>
        <v>4400</v>
      </c>
      <c r="M77">
        <f t="shared" si="40"/>
        <v>15</v>
      </c>
      <c r="N77" s="10">
        <f t="shared" si="47"/>
        <v>0.0116</v>
      </c>
      <c r="P77" s="10">
        <f t="shared" si="48"/>
        <v>0.0198</v>
      </c>
      <c r="U77" s="6">
        <f t="shared" si="49"/>
        <v>1.6666666666666667</v>
      </c>
    </row>
    <row r="78" spans="1:21" ht="15.75">
      <c r="A78" s="42" t="s">
        <v>91</v>
      </c>
      <c r="B78" s="46">
        <f t="shared" si="41"/>
        <v>0.0028482758620689648</v>
      </c>
      <c r="C78" s="47" t="s">
        <v>88</v>
      </c>
      <c r="D78" s="31">
        <f t="shared" si="42"/>
        <v>5.557327999999998</v>
      </c>
      <c r="E78" s="60">
        <f t="shared" si="43"/>
        <v>0.8979777578220312</v>
      </c>
      <c r="F78" s="33">
        <f t="shared" si="44"/>
        <v>164.6615703703703</v>
      </c>
      <c r="G78" s="50">
        <f t="shared" si="45"/>
        <v>163.49519333464823</v>
      </c>
      <c r="H78" s="32"/>
      <c r="I78" s="33"/>
      <c r="J78" s="50"/>
      <c r="K78" s="64">
        <f t="shared" si="46"/>
        <v>4400</v>
      </c>
      <c r="M78">
        <f t="shared" si="40"/>
        <v>16</v>
      </c>
      <c r="N78" s="10">
        <f t="shared" si="47"/>
        <v>0.0052</v>
      </c>
      <c r="P78" s="10">
        <f t="shared" si="48"/>
        <v>0.0021</v>
      </c>
      <c r="U78" s="6">
        <f t="shared" si="49"/>
        <v>1.6666666666666667</v>
      </c>
    </row>
    <row r="79" spans="1:21" ht="15.75">
      <c r="A79" s="42" t="s">
        <v>92</v>
      </c>
      <c r="B79" s="46">
        <f t="shared" si="41"/>
        <v>-0.03766896551724139</v>
      </c>
      <c r="C79" s="47" t="s">
        <v>88</v>
      </c>
      <c r="D79" s="31">
        <f t="shared" si="42"/>
        <v>-73.49667200000002</v>
      </c>
      <c r="E79" s="60">
        <f t="shared" si="43"/>
        <v>12.064656160428534</v>
      </c>
      <c r="F79" s="33">
        <f t="shared" si="44"/>
        <v>2177.6791703703707</v>
      </c>
      <c r="G79" s="50">
        <f t="shared" si="45"/>
        <v>1987.2090336734839</v>
      </c>
      <c r="H79" s="32"/>
      <c r="I79" s="33"/>
      <c r="J79" s="50"/>
      <c r="K79" s="64">
        <f t="shared" si="46"/>
        <v>4400</v>
      </c>
      <c r="M79">
        <f t="shared" si="40"/>
        <v>17</v>
      </c>
      <c r="N79" s="10">
        <f t="shared" si="47"/>
        <v>-0.025</v>
      </c>
      <c r="P79" s="10">
        <f t="shared" si="48"/>
        <v>-0.0417</v>
      </c>
      <c r="U79" s="6">
        <f t="shared" si="49"/>
        <v>1.6666666666666667</v>
      </c>
    </row>
    <row r="80" spans="1:21" ht="15.75">
      <c r="A80" s="42" t="s">
        <v>93</v>
      </c>
      <c r="B80" s="46">
        <f t="shared" si="41"/>
        <v>-0.04400689655172414</v>
      </c>
      <c r="C80" s="47" t="s">
        <v>88</v>
      </c>
      <c r="D80" s="31">
        <f t="shared" si="42"/>
        <v>-85.86273600000001</v>
      </c>
      <c r="E80" s="60">
        <f t="shared" si="43"/>
        <v>14.13625333963393</v>
      </c>
      <c r="F80" s="33">
        <f t="shared" si="44"/>
        <v>2544.0810666666666</v>
      </c>
      <c r="G80" s="50">
        <f t="shared" si="45"/>
        <v>2287.213422706269</v>
      </c>
      <c r="H80" s="32"/>
      <c r="I80" s="33"/>
      <c r="J80" s="50"/>
      <c r="K80" s="64">
        <f t="shared" si="46"/>
        <v>4400</v>
      </c>
      <c r="M80">
        <f t="shared" si="40"/>
        <v>18</v>
      </c>
      <c r="N80" s="10">
        <f t="shared" si="47"/>
        <v>-0.0302</v>
      </c>
      <c r="P80" s="10">
        <f t="shared" si="48"/>
        <v>-0.0484</v>
      </c>
      <c r="U80" s="6">
        <f t="shared" si="49"/>
        <v>1.6666666666666667</v>
      </c>
    </row>
    <row r="81" spans="1:21" ht="15.75">
      <c r="A81" s="42" t="s">
        <v>94</v>
      </c>
      <c r="B81" s="46">
        <f t="shared" si="41"/>
        <v>-0.046034482758620696</v>
      </c>
      <c r="C81" s="47" t="s">
        <v>88</v>
      </c>
      <c r="D81" s="31">
        <f t="shared" si="42"/>
        <v>-89.81880000000001</v>
      </c>
      <c r="E81" s="60">
        <f t="shared" si="43"/>
        <v>14.801629130985868</v>
      </c>
      <c r="F81" s="33">
        <f t="shared" si="44"/>
        <v>2661.297777777778</v>
      </c>
      <c r="G81" s="50">
        <f t="shared" si="45"/>
        <v>2381.278402142369</v>
      </c>
      <c r="H81" s="32"/>
      <c r="I81" s="33"/>
      <c r="J81" s="50"/>
      <c r="K81" s="64">
        <f t="shared" si="46"/>
        <v>4400</v>
      </c>
      <c r="M81">
        <f t="shared" si="40"/>
        <v>19</v>
      </c>
      <c r="N81" s="10">
        <f t="shared" si="47"/>
        <v>-0.032</v>
      </c>
      <c r="P81" s="10">
        <f t="shared" si="48"/>
        <v>-0.0505</v>
      </c>
      <c r="U81" s="6">
        <f t="shared" si="49"/>
        <v>1.6666666666666667</v>
      </c>
    </row>
    <row r="82" spans="1:16" ht="12.75">
      <c r="A82" s="42"/>
      <c r="B82" s="46"/>
      <c r="C82" s="47"/>
      <c r="D82" s="31"/>
      <c r="E82" s="60"/>
      <c r="F82" s="33"/>
      <c r="G82" s="34">
        <f>IF(ABS($D82)&gt;$J$10,"--&gt; As comprimés requis","")</f>
      </c>
      <c r="H82" s="32"/>
      <c r="I82" s="33"/>
      <c r="J82" s="50"/>
      <c r="K82" s="65"/>
      <c r="M82">
        <f t="shared" si="40"/>
        <v>20</v>
      </c>
      <c r="N82" s="10"/>
      <c r="P82" s="10"/>
    </row>
    <row r="83" spans="1:16" ht="15.75">
      <c r="A83" s="42" t="s">
        <v>95</v>
      </c>
      <c r="B83" s="46">
        <f aca="true" t="shared" si="50" ref="B83:B88">N83+(P83-N83)/(P$64-N$64)*(B$58-N$64)</f>
        <v>-0.0435448275862069</v>
      </c>
      <c r="C83" s="47" t="s">
        <v>96</v>
      </c>
      <c r="D83" s="31">
        <f aca="true" t="shared" si="51" ref="D83:D88">B83*B$19*B$56</f>
        <v>-20.2048</v>
      </c>
      <c r="E83" s="61"/>
      <c r="F83" s="55"/>
      <c r="G83" s="56"/>
      <c r="H83" s="32"/>
      <c r="I83" s="33"/>
      <c r="J83" s="50"/>
      <c r="K83" s="65"/>
      <c r="M83">
        <f t="shared" si="40"/>
        <v>21</v>
      </c>
      <c r="N83" s="10">
        <f aca="true" t="shared" si="52" ref="N83:N88">HLOOKUP(N$64,P1_1.82,$M83)</f>
        <v>-0.0396</v>
      </c>
      <c r="P83" s="10">
        <f aca="true" t="shared" si="53" ref="P83:P88">HLOOKUP(P$64,P1_1.82,$M83)</f>
        <v>-0.0448</v>
      </c>
    </row>
    <row r="84" spans="1:16" ht="15.75">
      <c r="A84" s="42" t="s">
        <v>97</v>
      </c>
      <c r="B84" s="46">
        <f t="shared" si="50"/>
        <v>0.0896344827586207</v>
      </c>
      <c r="C84" s="47" t="s">
        <v>96</v>
      </c>
      <c r="D84" s="31">
        <f t="shared" si="51"/>
        <v>41.5904</v>
      </c>
      <c r="E84" s="61"/>
      <c r="F84" s="55"/>
      <c r="G84" s="56"/>
      <c r="H84" s="32"/>
      <c r="I84" s="33"/>
      <c r="J84" s="50"/>
      <c r="K84" s="65"/>
      <c r="M84">
        <f t="shared" si="40"/>
        <v>22</v>
      </c>
      <c r="N84" s="10">
        <f t="shared" si="52"/>
        <v>0.1042</v>
      </c>
      <c r="P84" s="10">
        <f t="shared" si="53"/>
        <v>0.085</v>
      </c>
    </row>
    <row r="85" spans="1:16" ht="15.75">
      <c r="A85" s="42" t="s">
        <v>98</v>
      </c>
      <c r="B85" s="46">
        <f t="shared" si="50"/>
        <v>0.16199310344827583</v>
      </c>
      <c r="C85" s="47" t="s">
        <v>96</v>
      </c>
      <c r="D85" s="31">
        <f t="shared" si="51"/>
        <v>75.16479999999999</v>
      </c>
      <c r="E85" s="61"/>
      <c r="F85" s="55"/>
      <c r="G85" s="56"/>
      <c r="H85" s="32"/>
      <c r="I85" s="33"/>
      <c r="J85" s="50"/>
      <c r="K85" s="65"/>
      <c r="M85">
        <f t="shared" si="40"/>
        <v>23</v>
      </c>
      <c r="N85" s="10">
        <f t="shared" si="52"/>
        <v>0.1956</v>
      </c>
      <c r="P85" s="10">
        <f t="shared" si="53"/>
        <v>0.1513</v>
      </c>
    </row>
    <row r="86" spans="1:16" ht="15.75">
      <c r="A86" s="42" t="s">
        <v>99</v>
      </c>
      <c r="B86" s="46">
        <f t="shared" si="50"/>
        <v>0.19113793103448273</v>
      </c>
      <c r="C86" s="47" t="s">
        <v>96</v>
      </c>
      <c r="D86" s="31">
        <f t="shared" si="51"/>
        <v>88.68799999999999</v>
      </c>
      <c r="E86" s="61"/>
      <c r="F86" s="55"/>
      <c r="G86" s="56"/>
      <c r="H86" s="32"/>
      <c r="I86" s="33"/>
      <c r="J86" s="50"/>
      <c r="K86" s="65"/>
      <c r="M86">
        <f t="shared" si="40"/>
        <v>24</v>
      </c>
      <c r="N86" s="10">
        <f t="shared" si="52"/>
        <v>0.245</v>
      </c>
      <c r="P86" s="10">
        <f t="shared" si="53"/>
        <v>0.174</v>
      </c>
    </row>
    <row r="87" spans="1:16" ht="15.75">
      <c r="A87" s="42" t="s">
        <v>100</v>
      </c>
      <c r="B87" s="46">
        <f t="shared" si="50"/>
        <v>0.11411724137931034</v>
      </c>
      <c r="C87" s="47" t="s">
        <v>96</v>
      </c>
      <c r="D87" s="31">
        <f t="shared" si="51"/>
        <v>52.9504</v>
      </c>
      <c r="E87" s="61"/>
      <c r="F87" s="55"/>
      <c r="G87" s="56"/>
      <c r="H87" s="32"/>
      <c r="I87" s="33"/>
      <c r="J87" s="50"/>
      <c r="K87" s="65"/>
      <c r="M87">
        <f t="shared" si="40"/>
        <v>25</v>
      </c>
      <c r="N87" s="10">
        <f t="shared" si="52"/>
        <v>0.1632</v>
      </c>
      <c r="P87" s="10">
        <f t="shared" si="53"/>
        <v>0.0985</v>
      </c>
    </row>
    <row r="88" spans="1:16" ht="15.75">
      <c r="A88" s="42" t="s">
        <v>101</v>
      </c>
      <c r="B88" s="46">
        <f t="shared" si="50"/>
        <v>-0.008779310344827589</v>
      </c>
      <c r="C88" s="47" t="s">
        <v>96</v>
      </c>
      <c r="D88" s="31">
        <f t="shared" si="51"/>
        <v>-4.073600000000001</v>
      </c>
      <c r="E88" s="60"/>
      <c r="F88" s="33"/>
      <c r="G88" s="50"/>
      <c r="H88" s="32"/>
      <c r="I88" s="33"/>
      <c r="J88" s="50"/>
      <c r="K88" s="65"/>
      <c r="M88">
        <f t="shared" si="40"/>
        <v>26</v>
      </c>
      <c r="N88" s="10">
        <f t="shared" si="52"/>
        <v>-0.004</v>
      </c>
      <c r="P88" s="10">
        <f t="shared" si="53"/>
        <v>-0.0103</v>
      </c>
    </row>
    <row r="89" spans="1:16" ht="12.75">
      <c r="A89" s="93"/>
      <c r="B89" s="94"/>
      <c r="C89" s="95"/>
      <c r="D89" s="96"/>
      <c r="E89" s="61"/>
      <c r="F89" s="55"/>
      <c r="G89" s="56"/>
      <c r="H89" s="97"/>
      <c r="I89" s="55"/>
      <c r="J89" s="98"/>
      <c r="K89" s="99"/>
      <c r="M89">
        <f t="shared" si="40"/>
        <v>27</v>
      </c>
      <c r="N89" s="10"/>
      <c r="P89" s="10"/>
    </row>
    <row r="90" spans="1:16" ht="15.75">
      <c r="A90" s="42" t="s">
        <v>102</v>
      </c>
      <c r="B90" s="46">
        <f>N90+(P90-N90)/(P$64-N$64)*(B$58-N$64)</f>
        <v>0.3250448275862069</v>
      </c>
      <c r="C90" s="47" t="s">
        <v>103</v>
      </c>
      <c r="D90" s="31">
        <f>B90*B$19*B$57</f>
        <v>109.34508</v>
      </c>
      <c r="E90" s="61"/>
      <c r="F90" s="55"/>
      <c r="G90" s="56"/>
      <c r="H90" s="97"/>
      <c r="I90" s="55"/>
      <c r="J90" s="98"/>
      <c r="K90" s="99"/>
      <c r="M90">
        <f t="shared" si="40"/>
        <v>28</v>
      </c>
      <c r="N90" s="10">
        <f>HLOOKUP(N$64,P1_1.82,$M90)</f>
        <v>0.2705</v>
      </c>
      <c r="P90" s="10">
        <f>HLOOKUP(P$64,P1_1.82,$M90)</f>
        <v>0.3424</v>
      </c>
    </row>
    <row r="91" spans="1:16" ht="15.75">
      <c r="A91" s="42" t="s">
        <v>104</v>
      </c>
      <c r="B91" s="46">
        <f>N91+(P91-N91)/(P$64-N$64)*(B$58-N$64)</f>
        <v>0.3585241379310345</v>
      </c>
      <c r="C91" s="47" t="s">
        <v>103</v>
      </c>
      <c r="D91" s="31">
        <f>B91*B$19*B$57</f>
        <v>120.60752</v>
      </c>
      <c r="E91" s="61"/>
      <c r="F91" s="55"/>
      <c r="G91" s="56"/>
      <c r="H91" s="97"/>
      <c r="I91" s="55"/>
      <c r="J91" s="98"/>
      <c r="K91" s="99"/>
      <c r="M91">
        <f t="shared" si="40"/>
        <v>29</v>
      </c>
      <c r="N91" s="10">
        <f>HLOOKUP(N$64,P1_1.82,$M91)</f>
        <v>0.3102</v>
      </c>
      <c r="P91" s="10">
        <f>HLOOKUP(P$64,P1_1.82,$M91)</f>
        <v>0.3739</v>
      </c>
    </row>
    <row r="92" spans="1:16" ht="16.5" thickBot="1">
      <c r="A92" s="43" t="s">
        <v>105</v>
      </c>
      <c r="B92" s="48">
        <f>N92+(P92-N92)/(P$64-N$64)*(B$58-N$64)</f>
        <v>0.3682448275862069</v>
      </c>
      <c r="C92" s="49" t="s">
        <v>103</v>
      </c>
      <c r="D92" s="35">
        <f>B92*B$19*B$57</f>
        <v>123.87756</v>
      </c>
      <c r="E92" s="62"/>
      <c r="F92" s="37"/>
      <c r="G92" s="51"/>
      <c r="H92" s="36"/>
      <c r="I92" s="37"/>
      <c r="J92" s="51"/>
      <c r="K92" s="66"/>
      <c r="M92">
        <f t="shared" si="40"/>
        <v>30</v>
      </c>
      <c r="N92" s="10">
        <f>HLOOKUP(N$64,P1_1.82,$M92)</f>
        <v>0.3225</v>
      </c>
      <c r="P92" s="10">
        <f>HLOOKUP(P$64,P1_1.82,$M92)</f>
        <v>0.3828</v>
      </c>
    </row>
    <row r="93" spans="5:16" ht="12.75">
      <c r="E93"/>
      <c r="M93" s="18"/>
      <c r="N93" s="19"/>
      <c r="O93" s="18"/>
      <c r="P93" s="19"/>
    </row>
    <row r="94" spans="5:16" ht="12.75">
      <c r="E94"/>
      <c r="M94" s="18"/>
      <c r="N94" s="19"/>
      <c r="O94" s="18"/>
      <c r="P94" s="19"/>
    </row>
    <row r="95" spans="5:16" ht="12.75">
      <c r="E95"/>
      <c r="M95" s="18"/>
      <c r="N95" s="19"/>
      <c r="O95" s="18"/>
      <c r="P95" s="19"/>
    </row>
    <row r="96" spans="5:16" ht="12.75">
      <c r="E96"/>
      <c r="M96" s="18"/>
      <c r="N96" s="19"/>
      <c r="O96" s="18"/>
      <c r="P96" s="19"/>
    </row>
    <row r="98" ht="12.75">
      <c r="A98" s="23" t="s">
        <v>107</v>
      </c>
    </row>
    <row r="99" ht="12.75">
      <c r="A99" t="s">
        <v>108</v>
      </c>
    </row>
    <row r="106" ht="12.75">
      <c r="A106" s="3" t="s">
        <v>109</v>
      </c>
    </row>
    <row r="107" ht="12.75">
      <c r="G107" s="4"/>
    </row>
    <row r="108" ht="12.75">
      <c r="G108" s="4"/>
    </row>
    <row r="109" spans="7:9" ht="14.25">
      <c r="G109" s="4" t="s">
        <v>110</v>
      </c>
      <c r="H109" s="1">
        <f>$B$19</f>
        <v>58</v>
      </c>
      <c r="I109" t="s">
        <v>60</v>
      </c>
    </row>
    <row r="110" ht="12.75"/>
    <row r="111" ht="12.75"/>
    <row r="112" ht="12.75"/>
    <row r="113" ht="12.75"/>
    <row r="114" ht="12.75"/>
    <row r="115" spans="4:6" ht="12.75">
      <c r="D115" s="4"/>
      <c r="F115" s="4"/>
    </row>
    <row r="116" spans="4:9" ht="12.75">
      <c r="D116" s="4"/>
      <c r="F116" s="4"/>
      <c r="I116" s="75"/>
    </row>
    <row r="117" spans="7:8" ht="13.5" thickBot="1">
      <c r="G117" s="4"/>
      <c r="H117" s="100"/>
    </row>
    <row r="118" spans="5:10" ht="13.5" thickBot="1">
      <c r="E118" s="57" t="s">
        <v>64</v>
      </c>
      <c r="F118" s="58"/>
      <c r="G118" s="59"/>
      <c r="H118" s="57" t="s">
        <v>65</v>
      </c>
      <c r="I118" s="58"/>
      <c r="J118" s="59"/>
    </row>
    <row r="119" spans="1:21" s="112" customFormat="1" ht="26.25" thickBot="1">
      <c r="A119" s="71" t="s">
        <v>111</v>
      </c>
      <c r="B119" s="67" t="s">
        <v>112</v>
      </c>
      <c r="C119" s="74" t="s">
        <v>113</v>
      </c>
      <c r="D119" s="119" t="s">
        <v>114</v>
      </c>
      <c r="E119" s="71" t="s">
        <v>67</v>
      </c>
      <c r="F119" s="72" t="s">
        <v>68</v>
      </c>
      <c r="G119" s="73" t="s">
        <v>69</v>
      </c>
      <c r="H119" s="74" t="s">
        <v>67</v>
      </c>
      <c r="I119" s="72" t="s">
        <v>68</v>
      </c>
      <c r="J119" s="72" t="s">
        <v>69</v>
      </c>
      <c r="K119" s="120" t="s">
        <v>70</v>
      </c>
      <c r="S119" s="74" t="s">
        <v>73</v>
      </c>
      <c r="T119" s="113"/>
      <c r="U119" s="78" t="s">
        <v>75</v>
      </c>
    </row>
    <row r="120" spans="1:21" ht="12.75">
      <c r="A120" s="114">
        <v>26</v>
      </c>
      <c r="B120" s="31">
        <f>D37</f>
        <v>-107.40915600000001</v>
      </c>
      <c r="C120" s="31">
        <f>D48</f>
        <v>128.94386</v>
      </c>
      <c r="D120" s="129">
        <f>2*SQRT(ABS(B120/H$109))</f>
        <v>2.7216774239428156</v>
      </c>
      <c r="E120" s="60">
        <f>(ABS($B120))/1000/$J$8/(($J$7-$J$9)*(1-(1.5/3*(1-SQRT(1-8/3*ABS($B120/1000/($J$7-$J$9)^2/$D$10))))))*10000</f>
        <v>17.775961303694803</v>
      </c>
      <c r="F120" s="33">
        <f>ABS($B120*6/$J$5^2)</f>
        <v>4027.8433499999996</v>
      </c>
      <c r="G120" s="104">
        <f>ABS(B120/($J$7^2/6+1.33*E120*10^-4*($J$7/2-$J$9)^2*14*2/$J$7))</f>
        <v>2788.672405544888</v>
      </c>
      <c r="H120" s="32">
        <f>(ABS($S120))/1000/$J$8/(($J$7-$J$9)*(1-(1.5/3*(1-SQRT(1-8/3*ABS($S120/1000/($J$7-$J$9)^2/$D$10))))))*10000+$C120/$J$8*10</f>
        <v>22.28455943731527</v>
      </c>
      <c r="I120" s="33">
        <f>ABS($B120*6/$J$5^2)+C120/$J$5</f>
        <v>4350.2029999999995</v>
      </c>
      <c r="J120" s="33">
        <f>ABS(B120/($J$7^2/6+1.33*H120*10^-4*($J$7/2-$J$9)^2*14*2/$J$7))+C120/($J$7+1.33*H120*10^-4*14)</f>
        <v>2966.160775704966</v>
      </c>
      <c r="K120" s="127">
        <f>1.1*U120*(0.06*$D$9+0.6)*1000</f>
        <v>4400</v>
      </c>
      <c r="S120" s="1">
        <f>C120*(ABS(B120)/C120-$J$7/2+$J$9)</f>
        <v>84.19926120000002</v>
      </c>
      <c r="T120" s="1"/>
      <c r="U120" s="6">
        <f>IF(C120&gt;0,IF(ABS(B120)/C120&lt;$J$5/2,1+(2*ABS(B120)/C120)/(3*$J$5),5/3),5/3)</f>
        <v>1.6666666666666667</v>
      </c>
    </row>
    <row r="121" spans="1:21" ht="12.75">
      <c r="A121" s="114">
        <v>27</v>
      </c>
      <c r="B121" s="31">
        <f>D38</f>
        <v>-116.269932</v>
      </c>
      <c r="C121" s="31">
        <f>D49</f>
        <v>133.28515999999996</v>
      </c>
      <c r="D121" s="129">
        <f>2*SQRT(ABS(B121/H$109))</f>
        <v>2.831716087463572</v>
      </c>
      <c r="E121" s="60">
        <f>(ABS($B121))/1000/$J$8/(($J$7-$J$9)*(1-(1.5/3*(1-SQRT(1-8/3*ABS($B121/1000/($J$7-$J$9)^2/$D$10))))))*10000</f>
        <v>19.2841299748656</v>
      </c>
      <c r="F121" s="33">
        <f>ABS($B121*6/$J$5^2)</f>
        <v>4360.122449999999</v>
      </c>
      <c r="G121" s="104">
        <f>ABS(B121/($J$7^2/6+1.33*E121*10^-4*($J$7/2-$J$9)^2*14*2/$J$7))</f>
        <v>2987.361104053713</v>
      </c>
      <c r="H121" s="32">
        <f>(ABS($S121))/1000/$J$8/(($J$7-$J$9)*(1-(1.5/3*(1-SQRT(1-8/3*ABS($S121/1000/($J$7-$J$9)^2/$D$10))))))*10000+$C121/$J$8*10</f>
        <v>23.92744757505517</v>
      </c>
      <c r="I121" s="33">
        <f>ABS($B121*6/$J$5^2)+C121/$J$5</f>
        <v>4693.3353499999985</v>
      </c>
      <c r="J121" s="33">
        <f>ABS(B121/($J$7^2/6+1.33*H121*10^-4*($J$7/2-$J$9)^2*14*2/$J$7))+C121/($J$7+1.33*H121*10^-4*14)</f>
        <v>3164.269004391254</v>
      </c>
      <c r="K121" s="127">
        <f>1.1*U121*(0.06*$D$9+0.6)*1000</f>
        <v>4400</v>
      </c>
      <c r="S121" s="1">
        <f>C121*(ABS(B121)/C121-$J$7/2+$J$9)</f>
        <v>92.2786032</v>
      </c>
      <c r="U121" s="6">
        <f>IF(C121&gt;0,IF(ABS(B121)/C121&lt;$J$5/2,1+(2*ABS(B121)/C121)/(3*$J$5),5/3),5/3)</f>
        <v>1.6666666666666667</v>
      </c>
    </row>
    <row r="122" spans="1:21" ht="13.5" thickBot="1">
      <c r="A122" s="116">
        <v>28</v>
      </c>
      <c r="B122" s="35">
        <f>D39</f>
        <v>-118.809752</v>
      </c>
      <c r="C122" s="35">
        <f>D50</f>
        <v>134.26594</v>
      </c>
      <c r="D122" s="128">
        <f>2*SQRT(ABS(B122/H$109))</f>
        <v>2.862477248817884</v>
      </c>
      <c r="E122" s="62">
        <f>(ABS($B122))/1000/$J$8/(($J$7-$J$9)*(1-(1.5/3*(1-SQRT(1-8/3*ABS($B122/1000/($J$7-$J$9)^2/$D$10))))))*10000</f>
        <v>19.71766810212077</v>
      </c>
      <c r="F122" s="37">
        <f>ABS($B122*6/$J$5^2)</f>
        <v>4455.365699999999</v>
      </c>
      <c r="G122" s="118">
        <f>ABS(B122/($J$7^2/6+1.33*E122*10^-4*($J$7/2-$J$9)^2*14*2/$J$7))</f>
        <v>3043.527458629178</v>
      </c>
      <c r="H122" s="36">
        <f>(ABS($S122))/1000/$J$8/(($J$7-$J$9)*(1-(1.5/3*(1-SQRT(1-8/3*ABS($S122/1000/($J$7-$J$9)^2/$D$10))))))*10000+$C122/$J$8*10</f>
        <v>24.39013413516813</v>
      </c>
      <c r="I122" s="37">
        <f>ABS($B122*6/$J$5^2)+C122/$J$5</f>
        <v>4791.0305499999995</v>
      </c>
      <c r="J122" s="37">
        <f>ABS(B122/($J$7^2/6+1.33*H122*10^-4*($J$7/2-$J$9)^2*14*2/$J$7))+C122/($J$7+1.33*H122*10^-4*14)</f>
        <v>3219.905527034405</v>
      </c>
      <c r="K122" s="121">
        <f>1.1*U122*(0.06*$D$9+0.6)*1000</f>
        <v>4400</v>
      </c>
      <c r="S122" s="1">
        <f>C122*(ABS(B122)/C122-$J$7/2+$J$9)</f>
        <v>94.64188280000002</v>
      </c>
      <c r="U122" s="6">
        <f>IF(C122&gt;0,IF(ABS(B122)/C122&lt;$J$5/2,1+(2*ABS(B122)/C122)/(3*$J$5),5/3),5/3)</f>
        <v>1.6666666666666667</v>
      </c>
    </row>
    <row r="123" spans="7:8" ht="12.75">
      <c r="G123" s="4"/>
      <c r="H123" s="100"/>
    </row>
    <row r="124" spans="7:8" ht="12.75">
      <c r="G124" s="4"/>
      <c r="H124" s="100"/>
    </row>
    <row r="125" spans="7:8" ht="12.75">
      <c r="G125" s="4"/>
      <c r="H125" s="100"/>
    </row>
    <row r="126" spans="7:8" ht="12.75">
      <c r="G126" s="4"/>
      <c r="H126" s="100"/>
    </row>
    <row r="128" ht="12.75">
      <c r="A128" s="3" t="s">
        <v>115</v>
      </c>
    </row>
    <row r="131" ht="13.5" thickBot="1"/>
    <row r="132" spans="5:10" ht="13.5" thickBot="1">
      <c r="E132" s="57" t="s">
        <v>64</v>
      </c>
      <c r="F132" s="58"/>
      <c r="G132" s="59"/>
      <c r="H132" s="57" t="s">
        <v>65</v>
      </c>
      <c r="I132" s="58"/>
      <c r="J132" s="59"/>
    </row>
    <row r="133" spans="1:21" s="112" customFormat="1" ht="26.25" thickBot="1">
      <c r="A133" s="71" t="s">
        <v>111</v>
      </c>
      <c r="B133" s="67" t="s">
        <v>112</v>
      </c>
      <c r="C133" s="74" t="s">
        <v>113</v>
      </c>
      <c r="D133" s="119" t="s">
        <v>114</v>
      </c>
      <c r="E133" s="71" t="s">
        <v>67</v>
      </c>
      <c r="F133" s="72" t="s">
        <v>68</v>
      </c>
      <c r="G133" s="73" t="s">
        <v>69</v>
      </c>
      <c r="H133" s="74" t="s">
        <v>67</v>
      </c>
      <c r="I133" s="72" t="s">
        <v>68</v>
      </c>
      <c r="J133" s="72" t="s">
        <v>69</v>
      </c>
      <c r="K133" s="120" t="s">
        <v>70</v>
      </c>
      <c r="S133" s="74" t="s">
        <v>73</v>
      </c>
      <c r="T133" s="113"/>
      <c r="U133" s="78" t="s">
        <v>75</v>
      </c>
    </row>
    <row r="134" spans="1:21" ht="12.75">
      <c r="A134" s="122">
        <v>26</v>
      </c>
      <c r="B134" s="31">
        <f>D79</f>
        <v>-73.49667200000002</v>
      </c>
      <c r="C134" s="31">
        <f>D90</f>
        <v>109.34508</v>
      </c>
      <c r="D134" s="125">
        <f>2*SQRT(ABS(B134/$H$109))</f>
        <v>2.2513853512892905</v>
      </c>
      <c r="E134" s="60">
        <f>(ABS($B134))/1000/$J$8/(($J$7-$J$9)*(1-(1.5/3*(1-SQRT(1-8/3*ABS($B134/1000/($J$7-$J$9)^2/$D$10))))))*10000</f>
        <v>12.064656160428534</v>
      </c>
      <c r="F134" s="33">
        <f>ABS($B134*6/$J$5^2)</f>
        <v>2756.1252</v>
      </c>
      <c r="G134" s="104">
        <f>ABS(B134/($J$7^2/6+1.33*E134*10^-4*($J$7/2-$J$9)^2*14*2/$J$7))</f>
        <v>1987.2090336734839</v>
      </c>
      <c r="H134" s="32">
        <f>(ABS($S134))/1000/$J$8/(($J$7-$J$9)*(1-(1.5/3*(1-SQRT(1-8/3*ABS($S134/1000/($J$7-$J$9)^2/$D$10))))))*10000+$C134/$J$8*10</f>
        <v>15.939583413994459</v>
      </c>
      <c r="I134" s="33">
        <f>ABS($B134*6/$J$5^2)+C134/$J$5</f>
        <v>3029.4879</v>
      </c>
      <c r="J134" s="33">
        <f>ABS(B134/($J$7^2/6+1.33*H134*10^-4*($J$7/2-$J$9)^2*14*2/$J$7))+C134/($J$7+1.33*H134*10^-4*14)</f>
        <v>2160.8643172511534</v>
      </c>
      <c r="K134" s="64">
        <f>1.1*U134*(0.06*$D$9+0.6)*1000</f>
        <v>4400</v>
      </c>
      <c r="S134" s="1">
        <f>C134*(ABS(B134)/C134-$J$7/2+$J$9)</f>
        <v>53.814557600000015</v>
      </c>
      <c r="T134" s="1"/>
      <c r="U134" s="6">
        <f>IF(C134&gt;0,IF(ABS(B134)/C134&lt;$J$5/2,1+(2*ABS(B134)/C134)/(3*$J$5),5/3),5/3)</f>
        <v>1.6666666666666667</v>
      </c>
    </row>
    <row r="135" spans="1:21" ht="12.75">
      <c r="A135" s="114">
        <v>27</v>
      </c>
      <c r="B135" s="31">
        <f>D80</f>
        <v>-85.86273600000001</v>
      </c>
      <c r="C135" s="31">
        <f>D91</f>
        <v>120.60752</v>
      </c>
      <c r="D135" s="125">
        <f>2*SQRT(ABS(B135/$H$109))</f>
        <v>2.433427212800909</v>
      </c>
      <c r="E135" s="60">
        <f>(ABS($B135))/1000/$J$8/(($J$7-$J$9)*(1-(1.5/3*(1-SQRT(1-8/3*ABS($B135/1000/($J$7-$J$9)^2/$D$10))))))*10000</f>
        <v>14.13625333963393</v>
      </c>
      <c r="F135" s="33">
        <f>ABS($B135*6/$J$5^2)</f>
        <v>3219.8525999999993</v>
      </c>
      <c r="G135" s="104">
        <f>ABS(B135/($J$7^2/6+1.33*E135*10^-4*($J$7/2-$J$9)^2*14*2/$J$7))</f>
        <v>2287.213422706269</v>
      </c>
      <c r="H135" s="32">
        <f>(ABS($S135))/1000/$J$8/(($J$7-$J$9)*(1-(1.5/3*(1-SQRT(1-8/3*ABS($S135/1000/($J$7-$J$9)^2/$D$10))))))*10000+$C135/$J$8*10</f>
        <v>18.39049278471442</v>
      </c>
      <c r="I135" s="33">
        <f>ABS($B135*6/$J$5^2)+C135/$J$5</f>
        <v>3521.371399999999</v>
      </c>
      <c r="J135" s="33">
        <f>ABS(B135/($J$7^2/6+1.33*H135*10^-4*($J$7/2-$J$9)^2*14*2/$J$7))+C135/($J$7+1.33*H135*10^-4*14)</f>
        <v>2468.828802977858</v>
      </c>
      <c r="K135" s="64">
        <f>1.1*U135*(0.06*$D$9+0.6)*1000</f>
        <v>4400</v>
      </c>
      <c r="S135" s="1">
        <f>C135*(ABS(B135)/C135-$J$7/2+$J$9)</f>
        <v>64.15338240000001</v>
      </c>
      <c r="U135" s="6">
        <f>IF(C135&gt;0,IF(ABS(B135)/C135&lt;$J$5/2,1+(2*ABS(B135)/C135)/(3*$J$5),5/3),5/3)</f>
        <v>1.6666666666666667</v>
      </c>
    </row>
    <row r="136" spans="1:21" ht="13.5" thickBot="1">
      <c r="A136" s="116">
        <v>28</v>
      </c>
      <c r="B136" s="35">
        <f>D81</f>
        <v>-89.81880000000001</v>
      </c>
      <c r="C136" s="35">
        <f>D92</f>
        <v>123.87756</v>
      </c>
      <c r="D136" s="126">
        <f>2*SQRT(ABS(B136/$H$109))</f>
        <v>2.4888551585015954</v>
      </c>
      <c r="E136" s="62">
        <f>(ABS($B136))/1000/$J$8/(($J$7-$J$9)*(1-(1.5/3*(1-SQRT(1-8/3*ABS($B136/1000/($J$7-$J$9)^2/$D$10))))))*10000</f>
        <v>14.801629130985868</v>
      </c>
      <c r="F136" s="37">
        <f>ABS($B136*6/$J$5^2)</f>
        <v>3368.205</v>
      </c>
      <c r="G136" s="118">
        <f>ABS(B136/($J$7^2/6+1.33*E136*10^-4*($J$7/2-$J$9)^2*14*2/$J$7))</f>
        <v>2381.278402142369</v>
      </c>
      <c r="H136" s="36">
        <f>(ABS($S136))/1000/$J$8/(($J$7-$J$9)*(1-(1.5/3*(1-SQRT(1-8/3*ABS($S136/1000/($J$7-$J$9)^2/$D$10))))))*10000+$C136/$J$8*10</f>
        <v>19.164582143374645</v>
      </c>
      <c r="I136" s="37">
        <f>ABS($B136*6/$J$5^2)+C136/$J$5</f>
        <v>3677.8989</v>
      </c>
      <c r="J136" s="37">
        <f>ABS(B136/($J$7^2/6+1.33*H136*10^-4*($J$7/2-$J$9)^2*14*2/$J$7))+C136/($J$7+1.33*H136*10^-4*14)</f>
        <v>2564.703456084499</v>
      </c>
      <c r="K136" s="121">
        <f>1.1*U136*(0.06*$D$9+0.6)*1000</f>
        <v>4400</v>
      </c>
      <c r="S136" s="1">
        <f>C136*(ABS(B136)/C136-$J$7/2+$J$9)</f>
        <v>67.52083920000003</v>
      </c>
      <c r="U136" s="6">
        <f>IF(C136&gt;0,IF(ABS(B136)/C136&lt;$J$5/2,1+(2*ABS(B136)/C136)/(3*$J$5),5/3),5/3)</f>
        <v>1.6666666666666667</v>
      </c>
    </row>
  </sheetData>
  <sheetProtection sheet="1" objects="1" scenarios="1"/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4"/>
  <headerFooter alignWithMargins="0">
    <oddHeader>&amp;LEUROCONCEPT INGENIERIE&amp;C&amp;F,  &amp;A&amp;R&amp;D</oddHeader>
    <oddFooter>&amp;LSTATION E.P. ROISSY - LOT 30K&amp;RPage   &amp;P</oddFooter>
  </headerFooter>
  <rowBreaks count="2" manualBreakCount="2">
    <brk id="51" max="65535" man="1"/>
    <brk id="103" max="65535" man="1"/>
  </rowBreaks>
  <colBreaks count="1" manualBreakCount="1">
    <brk id="11" max="65535" man="1"/>
  </colBreaks>
  <drawing r:id="rId3"/>
  <legacyDrawing r:id="rId2"/>
  <oleObjects>
    <oleObject progId="Equation.2" shapeId="33257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N24"/>
  <sheetViews>
    <sheetView tabSelected="1" workbookViewId="0" topLeftCell="A5">
      <selection activeCell="E19" sqref="E19"/>
    </sheetView>
  </sheetViews>
  <sheetFormatPr defaultColWidth="8.7109375" defaultRowHeight="12.75"/>
  <cols>
    <col min="6" max="6" width="8.7109375" style="4" customWidth="1"/>
  </cols>
  <sheetData>
    <row r="1" ht="18">
      <c r="A1" s="2" t="s">
        <v>133</v>
      </c>
    </row>
    <row r="2" ht="12.75">
      <c r="A2" t="s">
        <v>153</v>
      </c>
    </row>
    <row r="5" spans="1:11" ht="12.75">
      <c r="A5" t="s">
        <v>36</v>
      </c>
      <c r="D5" s="6">
        <v>6.5</v>
      </c>
      <c r="E5" t="s">
        <v>37</v>
      </c>
      <c r="G5" t="s">
        <v>45</v>
      </c>
      <c r="J5">
        <v>120</v>
      </c>
      <c r="K5" t="s">
        <v>46</v>
      </c>
    </row>
    <row r="6" spans="1:11" ht="12.75">
      <c r="A6" t="s">
        <v>39</v>
      </c>
      <c r="D6" s="6">
        <v>5</v>
      </c>
      <c r="E6" t="s">
        <v>37</v>
      </c>
      <c r="G6" t="s">
        <v>118</v>
      </c>
      <c r="J6" s="11">
        <v>12</v>
      </c>
      <c r="K6" t="s">
        <v>46</v>
      </c>
    </row>
    <row r="7" spans="1:11" ht="12.75">
      <c r="A7" t="s">
        <v>41</v>
      </c>
      <c r="D7" s="6">
        <v>3.5</v>
      </c>
      <c r="E7" t="s">
        <v>37</v>
      </c>
      <c r="G7" t="s">
        <v>119</v>
      </c>
      <c r="J7" s="6">
        <v>0.3</v>
      </c>
      <c r="K7" t="s">
        <v>37</v>
      </c>
    </row>
    <row r="8" spans="1:11" ht="14.25">
      <c r="A8" t="s">
        <v>154</v>
      </c>
      <c r="D8" s="1">
        <v>11</v>
      </c>
      <c r="E8" t="s">
        <v>44</v>
      </c>
      <c r="G8" t="s">
        <v>48</v>
      </c>
      <c r="J8" s="6">
        <v>0.04</v>
      </c>
      <c r="K8" t="s">
        <v>37</v>
      </c>
    </row>
    <row r="12" spans="1:8" ht="12.75">
      <c r="A12" s="3" t="s">
        <v>53</v>
      </c>
      <c r="D12" t="s">
        <v>155</v>
      </c>
      <c r="F12" s="4" t="s">
        <v>55</v>
      </c>
      <c r="G12" s="6">
        <f>D7</f>
        <v>3.5</v>
      </c>
      <c r="H12" t="s">
        <v>37</v>
      </c>
    </row>
    <row r="13" spans="1:8" ht="12.75">
      <c r="A13" s="3"/>
      <c r="F13" s="4" t="s">
        <v>56</v>
      </c>
      <c r="G13" s="6">
        <f>D5</f>
        <v>6.5</v>
      </c>
      <c r="H13" t="s">
        <v>37</v>
      </c>
    </row>
    <row r="14" spans="1:7" ht="12.75">
      <c r="A14" s="3"/>
      <c r="D14" s="10"/>
      <c r="F14" s="5" t="s">
        <v>57</v>
      </c>
      <c r="G14" s="6">
        <f>G12/G13</f>
        <v>0.5384615384615384</v>
      </c>
    </row>
    <row r="15" spans="6:7" ht="12.75">
      <c r="F15" s="5" t="s">
        <v>58</v>
      </c>
      <c r="G15" s="6">
        <f>G13/G12</f>
        <v>1.8571428571428572</v>
      </c>
    </row>
    <row r="16" spans="6:8" ht="14.25">
      <c r="F16" s="4" t="s">
        <v>59</v>
      </c>
      <c r="G16">
        <f>D8*D7</f>
        <v>38.5</v>
      </c>
      <c r="H16" t="s">
        <v>60</v>
      </c>
    </row>
    <row r="17" spans="12:13" ht="12.75">
      <c r="L17" s="12"/>
      <c r="M17" s="12"/>
    </row>
    <row r="18" spans="12:14" ht="38.25">
      <c r="L18" s="15" t="s">
        <v>156</v>
      </c>
      <c r="M18" s="12"/>
      <c r="N18" s="16" t="s">
        <v>157</v>
      </c>
    </row>
    <row r="19" spans="6:14" ht="15.75">
      <c r="F19" s="4" t="s">
        <v>127</v>
      </c>
      <c r="G19" s="10">
        <f>VLOOKUP(G$14,'Barès 1.68a'!$A$6:$G$16,2)</f>
        <v>0.0251</v>
      </c>
      <c r="H19" s="4" t="s">
        <v>128</v>
      </c>
      <c r="I19" s="1">
        <f>G19*G$16*G$12^2</f>
        <v>11.837787500000001</v>
      </c>
      <c r="J19" t="s">
        <v>158</v>
      </c>
      <c r="L19" s="13">
        <f>(ABS($I19))/1000/$J$5/(($J$7-$J$8)*(1-(1.5/3*(1-SQRT(1-8/3*ABS($I19/1000/($J$7-$J$8)^2/$J$6))))))*10000</f>
        <v>3.8318107987105505</v>
      </c>
      <c r="M19" s="12"/>
      <c r="N19" s="14">
        <f>I19*6/$J$7^2</f>
        <v>789.1858333333333</v>
      </c>
    </row>
    <row r="20" spans="6:14" ht="15.75">
      <c r="F20" s="4" t="s">
        <v>159</v>
      </c>
      <c r="G20" s="10">
        <f>VLOOKUP(G$14,'Barès 1.68a'!$A$6:$G$16,3)</f>
        <v>0.0251</v>
      </c>
      <c r="H20" s="4" t="s">
        <v>128</v>
      </c>
      <c r="I20" s="1">
        <f>G20*G$16*G$12^2</f>
        <v>11.837787500000001</v>
      </c>
      <c r="J20" t="s">
        <v>158</v>
      </c>
      <c r="L20" s="13">
        <f>(ABS($I20))/1000/$J$5/(($J$7-$J$8)*(1-(1.5/3*(1-SQRT(1-8/3*ABS($I20/1000/($J$7-$J$8)^2/$J$6))))))*10000</f>
        <v>3.8318107987105505</v>
      </c>
      <c r="M20" s="12"/>
      <c r="N20" s="14">
        <f>I20*6/$J$7^2</f>
        <v>789.1858333333333</v>
      </c>
    </row>
    <row r="21" spans="6:14" ht="15.75">
      <c r="F21" s="4" t="s">
        <v>129</v>
      </c>
      <c r="G21" s="10">
        <f>VLOOKUP(G$14,'Barès 1.68a'!$A$6:$G$16,4)</f>
        <v>-0.0614</v>
      </c>
      <c r="H21" s="4" t="s">
        <v>128</v>
      </c>
      <c r="I21" s="1">
        <f>G21*G$16*G$12^2</f>
        <v>-28.957775</v>
      </c>
      <c r="J21" t="s">
        <v>158</v>
      </c>
      <c r="L21" s="13">
        <f>(ABS($I21))/1000/$J$5/(($J$7-$J$8)*(1-(1.5/3*(1-SQRT(1-8/3*ABS($I21/1000/($J$7-$J$8)^2/$J$6))))))*10000</f>
        <v>9.513401764440136</v>
      </c>
      <c r="M21" s="12"/>
      <c r="N21" s="14">
        <f>I21*6/$J$7^2</f>
        <v>-1930.5183333333337</v>
      </c>
    </row>
    <row r="22" spans="6:14" ht="15.75">
      <c r="F22" s="4" t="s">
        <v>130</v>
      </c>
      <c r="G22" s="10">
        <f>VLOOKUP(G$14,'Barès 1.68a'!$A$6:$G$16,5)</f>
        <v>0.0011</v>
      </c>
      <c r="H22" s="4" t="s">
        <v>131</v>
      </c>
      <c r="I22" s="1">
        <f>G22*G$16*G$13^2</f>
        <v>1.7892875000000001</v>
      </c>
      <c r="J22" t="s">
        <v>158</v>
      </c>
      <c r="L22" s="13">
        <f>(ABS($I22))/1000/$J$5/(($J$7-$J$8)*(1-(1.5/3*(1-SQRT(1-8/3*ABS($I22/1000/($J$7-$J$8)^2/$J$6))))))*10000</f>
        <v>0.5743353811025287</v>
      </c>
      <c r="M22" s="12"/>
      <c r="N22" s="14">
        <f>I22*6/$J$7^2</f>
        <v>119.28583333333334</v>
      </c>
    </row>
    <row r="23" spans="6:14" ht="15.75">
      <c r="F23" s="4" t="s">
        <v>160</v>
      </c>
      <c r="G23" s="10">
        <f>VLOOKUP(G$14,'Barès 1.68a'!$A$6:$G$16,6)</f>
        <v>0.0014</v>
      </c>
      <c r="H23" s="4" t="s">
        <v>131</v>
      </c>
      <c r="I23" s="1">
        <f>G23*G$16*G$13^2</f>
        <v>2.277275</v>
      </c>
      <c r="J23" t="s">
        <v>158</v>
      </c>
      <c r="L23" s="13">
        <f>(ABS($I23))/1000/$J$5/(($J$7-$J$8)*(1-(1.5/3*(1-SQRT(1-8/3*ABS($I23/1000/($J$7-$J$8)^2/$J$6))))))*10000</f>
        <v>0.7312669907995719</v>
      </c>
      <c r="M23" s="12"/>
      <c r="N23" s="14">
        <f>I23*6/$J$7^2</f>
        <v>151.81833333333336</v>
      </c>
    </row>
    <row r="24" spans="6:14" ht="15.75">
      <c r="F24" s="4" t="s">
        <v>132</v>
      </c>
      <c r="G24" s="10">
        <f>VLOOKUP(G$14,'Barès 1.68a'!$A$6:$G$16,7)</f>
        <v>-0.009</v>
      </c>
      <c r="H24" s="4" t="s">
        <v>131</v>
      </c>
      <c r="I24" s="1">
        <f>G24*G$16*G$13^2</f>
        <v>-14.639624999999999</v>
      </c>
      <c r="J24" t="s">
        <v>158</v>
      </c>
      <c r="L24" s="13">
        <f>(ABS($I24))/1000/$J$5/(($J$7-$J$8)*(1-(1.5/3*(1-SQRT(1-8/3*ABS($I24/1000/($J$7-$J$8)^2/$J$6))))))*10000</f>
        <v>4.750041064393394</v>
      </c>
      <c r="M24" s="12"/>
      <c r="N24" s="14">
        <f>I24*6/$J$7^2</f>
        <v>-975.975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I47"/>
  <sheetViews>
    <sheetView workbookViewId="0" topLeftCell="A1">
      <selection activeCell="E2" sqref="E2"/>
    </sheetView>
  </sheetViews>
  <sheetFormatPr defaultColWidth="8.7109375" defaultRowHeight="12.75"/>
  <sheetData>
    <row r="1" spans="1:5" ht="12.75">
      <c r="A1" t="s">
        <v>161</v>
      </c>
      <c r="C1" t="s">
        <v>162</v>
      </c>
      <c r="E1" t="s">
        <v>163</v>
      </c>
    </row>
    <row r="4" spans="1:8" ht="12.75">
      <c r="A4" s="9" t="s">
        <v>164</v>
      </c>
      <c r="B4" s="8">
        <v>0.25</v>
      </c>
      <c r="C4" s="8">
        <v>0.5</v>
      </c>
      <c r="D4" s="8">
        <v>0.75</v>
      </c>
      <c r="E4" s="8">
        <v>1</v>
      </c>
      <c r="F4" s="8">
        <v>1.5</v>
      </c>
      <c r="G4" s="8">
        <v>2</v>
      </c>
      <c r="H4" s="1">
        <v>3</v>
      </c>
    </row>
    <row r="5" spans="1:9" ht="15.75">
      <c r="A5" s="7" t="s">
        <v>165</v>
      </c>
      <c r="B5" s="10">
        <v>0</v>
      </c>
      <c r="C5" s="10">
        <v>0</v>
      </c>
      <c r="D5" s="10">
        <v>-0.0011</v>
      </c>
      <c r="E5" s="10">
        <v>-0.0025</v>
      </c>
      <c r="F5" s="52">
        <v>-0.00479</v>
      </c>
      <c r="G5" s="52">
        <v>-0.00477</v>
      </c>
      <c r="H5" s="52">
        <v>-0.003</v>
      </c>
      <c r="I5">
        <v>1</v>
      </c>
    </row>
    <row r="6" spans="1:9" ht="15.75">
      <c r="A6" s="7" t="s">
        <v>166</v>
      </c>
      <c r="B6" s="10">
        <v>0</v>
      </c>
      <c r="C6" s="10">
        <v>0.0004</v>
      </c>
      <c r="D6" s="10">
        <v>0.0018</v>
      </c>
      <c r="E6" s="10">
        <v>0.0025</v>
      </c>
      <c r="F6" s="52">
        <v>0.00306</v>
      </c>
      <c r="G6" s="52">
        <v>0.00232</v>
      </c>
      <c r="H6" s="52">
        <v>0.00089</v>
      </c>
      <c r="I6">
        <f aca="true" t="shared" si="0" ref="I6:I21">I5+1</f>
        <v>2</v>
      </c>
    </row>
    <row r="7" spans="1:9" ht="15.75">
      <c r="A7" s="7" t="s">
        <v>167</v>
      </c>
      <c r="B7" s="10">
        <v>0</v>
      </c>
      <c r="C7" s="10">
        <v>-0.0024</v>
      </c>
      <c r="D7" s="10">
        <v>-0.0061</v>
      </c>
      <c r="E7" s="10">
        <v>-0.0063</v>
      </c>
      <c r="F7" s="52">
        <v>-0.00635</v>
      </c>
      <c r="G7" s="52">
        <v>-0.00505</v>
      </c>
      <c r="H7" s="52">
        <v>-0.00276</v>
      </c>
      <c r="I7">
        <f t="shared" si="0"/>
        <v>3</v>
      </c>
    </row>
    <row r="8" spans="1:9" ht="15.75">
      <c r="A8" s="7" t="s">
        <v>168</v>
      </c>
      <c r="B8" s="10">
        <v>0</v>
      </c>
      <c r="C8" s="10">
        <v>0.0016</v>
      </c>
      <c r="D8" s="10">
        <v>0.0036</v>
      </c>
      <c r="E8" s="10">
        <v>0.0036</v>
      </c>
      <c r="F8" s="52">
        <v>0.0032</v>
      </c>
      <c r="G8" s="52">
        <v>0.00215</v>
      </c>
      <c r="H8" s="52">
        <v>0.00075</v>
      </c>
      <c r="I8">
        <f t="shared" si="0"/>
        <v>4</v>
      </c>
    </row>
    <row r="9" spans="1:9" ht="15.75">
      <c r="A9" s="7" t="s">
        <v>169</v>
      </c>
      <c r="B9" s="10">
        <v>-0.0096</v>
      </c>
      <c r="C9" s="10">
        <v>-0.0124</v>
      </c>
      <c r="D9" s="10">
        <v>-0.0167</v>
      </c>
      <c r="E9" s="10">
        <v>-0.0118</v>
      </c>
      <c r="F9" s="52">
        <v>-0.0079</v>
      </c>
      <c r="G9" s="52">
        <v>-0.0052</v>
      </c>
      <c r="H9" s="52">
        <v>-0.00241</v>
      </c>
      <c r="I9">
        <f t="shared" si="0"/>
        <v>5</v>
      </c>
    </row>
    <row r="10" spans="1:9" ht="15.75">
      <c r="A10" s="7" t="s">
        <v>170</v>
      </c>
      <c r="B10" s="10">
        <v>0.0048</v>
      </c>
      <c r="C10" s="10">
        <v>0.0068</v>
      </c>
      <c r="D10" s="10">
        <v>0.0085</v>
      </c>
      <c r="E10" s="10">
        <v>0.0058</v>
      </c>
      <c r="F10" s="52">
        <v>0.00346</v>
      </c>
      <c r="G10" s="52">
        <v>0.00197</v>
      </c>
      <c r="H10" s="52">
        <v>0.00061</v>
      </c>
      <c r="I10">
        <f t="shared" si="0"/>
        <v>6</v>
      </c>
    </row>
    <row r="11" spans="1:9" ht="15.75">
      <c r="A11" s="7" t="s">
        <v>171</v>
      </c>
      <c r="B11" s="10">
        <v>-0.0336</v>
      </c>
      <c r="C11" s="10">
        <v>-0.03</v>
      </c>
      <c r="D11" s="10">
        <v>-0.0295</v>
      </c>
      <c r="E11" s="10">
        <v>-0.0165</v>
      </c>
      <c r="F11" s="52">
        <v>-0.00843</v>
      </c>
      <c r="G11" s="52">
        <v>-0.00472</v>
      </c>
      <c r="H11" s="52">
        <v>-0.00186</v>
      </c>
      <c r="I11">
        <f t="shared" si="0"/>
        <v>7</v>
      </c>
    </row>
    <row r="12" spans="1:9" ht="15.75">
      <c r="A12" s="7" t="s">
        <v>172</v>
      </c>
      <c r="B12" s="10">
        <v>0.0176</v>
      </c>
      <c r="C12" s="10">
        <v>0.0148</v>
      </c>
      <c r="D12" s="10">
        <v>0.0137</v>
      </c>
      <c r="E12" s="10">
        <v>0.0072</v>
      </c>
      <c r="F12" s="52">
        <v>0.00315</v>
      </c>
      <c r="G12" s="52">
        <v>0.00152</v>
      </c>
      <c r="H12" s="52">
        <v>0.00037</v>
      </c>
      <c r="I12">
        <f t="shared" si="0"/>
        <v>8</v>
      </c>
    </row>
    <row r="13" spans="1:9" ht="15.75">
      <c r="A13" s="7" t="s">
        <v>173</v>
      </c>
      <c r="B13" s="10">
        <v>-0.0512</v>
      </c>
      <c r="C13" s="10">
        <v>-0.0336</v>
      </c>
      <c r="D13" s="10">
        <v>-0.0256</v>
      </c>
      <c r="E13" s="10">
        <v>-0.0119</v>
      </c>
      <c r="F13" s="52">
        <v>-0.00492</v>
      </c>
      <c r="G13" s="52">
        <v>-0.00245</v>
      </c>
      <c r="H13" s="52">
        <v>-0.00083</v>
      </c>
      <c r="I13">
        <f t="shared" si="0"/>
        <v>9</v>
      </c>
    </row>
    <row r="14" spans="1:9" ht="15.75">
      <c r="A14" s="7" t="s">
        <v>174</v>
      </c>
      <c r="B14" s="10">
        <v>0.0256</v>
      </c>
      <c r="C14" s="10">
        <v>0.0152</v>
      </c>
      <c r="D14" s="10">
        <v>0.0103</v>
      </c>
      <c r="E14" s="10">
        <v>0.0041</v>
      </c>
      <c r="F14" s="52">
        <v>0.00106</v>
      </c>
      <c r="G14" s="52">
        <v>0.0002</v>
      </c>
      <c r="H14" s="52">
        <v>0.00021</v>
      </c>
      <c r="I14">
        <f t="shared" si="0"/>
        <v>10</v>
      </c>
    </row>
    <row r="15" spans="1:9" ht="12.75">
      <c r="A15" s="7"/>
      <c r="B15" s="10"/>
      <c r="C15" s="10"/>
      <c r="D15" s="10"/>
      <c r="E15" s="10"/>
      <c r="F15" s="10"/>
      <c r="G15" s="52"/>
      <c r="H15" s="52"/>
      <c r="I15">
        <f t="shared" si="0"/>
        <v>11</v>
      </c>
    </row>
    <row r="16" spans="1:9" ht="15.75">
      <c r="A16" s="7" t="s">
        <v>175</v>
      </c>
      <c r="B16" s="10">
        <v>0</v>
      </c>
      <c r="C16" s="10">
        <v>-0.0003</v>
      </c>
      <c r="D16" s="10">
        <v>-0.0006</v>
      </c>
      <c r="E16" s="10">
        <v>-0.0003</v>
      </c>
      <c r="F16" s="10">
        <v>0.0017</v>
      </c>
      <c r="G16" s="10">
        <v>0.0031</v>
      </c>
      <c r="H16" s="10">
        <v>0.0031</v>
      </c>
      <c r="I16">
        <f t="shared" si="0"/>
        <v>12</v>
      </c>
    </row>
    <row r="17" spans="1:9" ht="15.75">
      <c r="A17" s="7" t="s">
        <v>176</v>
      </c>
      <c r="B17" s="10">
        <v>0</v>
      </c>
      <c r="C17" s="10">
        <v>0</v>
      </c>
      <c r="D17" s="10">
        <v>0.0008</v>
      </c>
      <c r="E17" s="10">
        <v>0.0026</v>
      </c>
      <c r="F17" s="10">
        <v>0.0065</v>
      </c>
      <c r="G17" s="10">
        <v>0.0081</v>
      </c>
      <c r="H17" s="10">
        <v>0.0064</v>
      </c>
      <c r="I17">
        <f t="shared" si="0"/>
        <v>13</v>
      </c>
    </row>
    <row r="18" spans="1:9" ht="15.75">
      <c r="A18" s="7" t="s">
        <v>177</v>
      </c>
      <c r="B18" s="10">
        <v>0.0002</v>
      </c>
      <c r="C18" s="10">
        <v>0.0015</v>
      </c>
      <c r="D18" s="10">
        <v>0.0044</v>
      </c>
      <c r="E18" s="10">
        <v>0.0075</v>
      </c>
      <c r="F18" s="10">
        <v>0.0109</v>
      </c>
      <c r="G18" s="10">
        <v>0.0104</v>
      </c>
      <c r="H18" s="10">
        <v>0.0051</v>
      </c>
      <c r="I18">
        <f t="shared" si="0"/>
        <v>14</v>
      </c>
    </row>
    <row r="19" spans="1:9" ht="15.75">
      <c r="A19" s="7" t="s">
        <v>178</v>
      </c>
      <c r="B19" s="10">
        <v>0.0005</v>
      </c>
      <c r="C19" s="10">
        <v>0.0029</v>
      </c>
      <c r="D19" s="10">
        <v>0.005</v>
      </c>
      <c r="E19" s="10">
        <v>0.0054</v>
      </c>
      <c r="F19" s="10">
        <v>0.0026</v>
      </c>
      <c r="G19" s="10">
        <v>-0.0026</v>
      </c>
      <c r="H19" s="10">
        <v>-0.0129</v>
      </c>
      <c r="I19">
        <f t="shared" si="0"/>
        <v>15</v>
      </c>
    </row>
    <row r="20" spans="1:9" ht="15.75">
      <c r="A20" s="7" t="s">
        <v>179</v>
      </c>
      <c r="B20" s="10">
        <v>-0.0021</v>
      </c>
      <c r="C20" s="10">
        <v>-0.0071</v>
      </c>
      <c r="D20" s="10">
        <v>-0.0122</v>
      </c>
      <c r="E20" s="10">
        <v>-0.0187</v>
      </c>
      <c r="F20" s="10">
        <v>-0.03</v>
      </c>
      <c r="G20" s="10">
        <v>-0.0393</v>
      </c>
      <c r="H20" s="10">
        <v>-0.0536</v>
      </c>
      <c r="I20">
        <f t="shared" si="0"/>
        <v>16</v>
      </c>
    </row>
    <row r="21" spans="1:9" ht="15.75">
      <c r="A21" s="7" t="s">
        <v>180</v>
      </c>
      <c r="B21" s="10">
        <v>-0.0026</v>
      </c>
      <c r="C21" s="10">
        <v>-0.0088</v>
      </c>
      <c r="D21" s="10">
        <v>-0.0149</v>
      </c>
      <c r="E21" s="10">
        <v>-0.0233</v>
      </c>
      <c r="F21" s="10">
        <v>-0.0343</v>
      </c>
      <c r="G21" s="10">
        <v>-0.0445</v>
      </c>
      <c r="H21" s="10">
        <v>-0.0591</v>
      </c>
      <c r="I21">
        <f t="shared" si="0"/>
        <v>17</v>
      </c>
    </row>
    <row r="22" spans="1:9" ht="15.75">
      <c r="A22" s="7" t="s">
        <v>181</v>
      </c>
      <c r="B22" s="10">
        <v>-0.0028</v>
      </c>
      <c r="C22" s="10">
        <v>-0.0093</v>
      </c>
      <c r="D22" s="10">
        <v>-0.0158</v>
      </c>
      <c r="E22" s="10">
        <v>-0.0235</v>
      </c>
      <c r="F22" s="10">
        <v>-0.0359</v>
      </c>
      <c r="G22" s="10">
        <v>-0.0461</v>
      </c>
      <c r="H22" s="10">
        <v>-0.0608</v>
      </c>
      <c r="I22">
        <f aca="true" t="shared" si="1" ref="I22:I36">I21+1</f>
        <v>18</v>
      </c>
    </row>
    <row r="23" spans="1:9" ht="12.75">
      <c r="A23" s="7"/>
      <c r="B23" s="10"/>
      <c r="C23" s="10"/>
      <c r="D23" s="10"/>
      <c r="E23" s="10"/>
      <c r="F23" s="10"/>
      <c r="G23" s="10"/>
      <c r="H23" s="10"/>
      <c r="I23">
        <f t="shared" si="1"/>
        <v>19</v>
      </c>
    </row>
    <row r="24" spans="1:9" ht="15.75">
      <c r="A24" s="7" t="s">
        <v>182</v>
      </c>
      <c r="B24" s="10">
        <v>0</v>
      </c>
      <c r="C24" s="10">
        <v>-0.0052</v>
      </c>
      <c r="D24" s="10">
        <v>-0.0156</v>
      </c>
      <c r="E24" s="10">
        <v>-0.0155</v>
      </c>
      <c r="F24" s="10">
        <v>-0.0003</v>
      </c>
      <c r="G24" s="10">
        <v>0.0142</v>
      </c>
      <c r="H24" s="10">
        <v>0.0224</v>
      </c>
      <c r="I24">
        <f t="shared" si="1"/>
        <v>20</v>
      </c>
    </row>
    <row r="25" spans="1:9" ht="15.75">
      <c r="A25" s="7" t="s">
        <v>183</v>
      </c>
      <c r="B25" s="10">
        <v>0.0008</v>
      </c>
      <c r="C25" s="10">
        <v>0.0038</v>
      </c>
      <c r="D25" s="10">
        <v>0.016</v>
      </c>
      <c r="E25" s="10">
        <v>0.0258</v>
      </c>
      <c r="F25" s="10">
        <v>0.0362</v>
      </c>
      <c r="G25" s="10">
        <v>0.0359</v>
      </c>
      <c r="H25" s="10">
        <v>0.0281</v>
      </c>
      <c r="I25">
        <f t="shared" si="1"/>
        <v>21</v>
      </c>
    </row>
    <row r="26" spans="1:9" ht="15.75">
      <c r="A26" s="7" t="s">
        <v>184</v>
      </c>
      <c r="B26" s="10">
        <v>0.0568</v>
      </c>
      <c r="C26" s="10">
        <v>0.0646</v>
      </c>
      <c r="D26" s="10">
        <v>0.0837</v>
      </c>
      <c r="E26" s="10">
        <v>0.0763</v>
      </c>
      <c r="F26" s="10">
        <v>0.0641</v>
      </c>
      <c r="G26" s="10">
        <v>0.0495</v>
      </c>
      <c r="H26" s="10">
        <v>0.0307</v>
      </c>
      <c r="I26">
        <f t="shared" si="1"/>
        <v>22</v>
      </c>
    </row>
    <row r="27" spans="1:9" ht="15.75">
      <c r="A27" s="7" t="s">
        <v>185</v>
      </c>
      <c r="B27" s="10">
        <v>0.1996</v>
      </c>
      <c r="C27" s="10">
        <v>0.2022</v>
      </c>
      <c r="D27" s="10">
        <v>0.2082</v>
      </c>
      <c r="E27" s="10">
        <v>0.1567</v>
      </c>
      <c r="F27" s="10">
        <v>0.1089</v>
      </c>
      <c r="G27" s="10">
        <v>0.0785</v>
      </c>
      <c r="H27" s="10">
        <v>0.0487</v>
      </c>
      <c r="I27">
        <f t="shared" si="1"/>
        <v>23</v>
      </c>
    </row>
    <row r="28" spans="1:9" ht="15.75">
      <c r="A28" s="7" t="s">
        <v>186</v>
      </c>
      <c r="B28" s="10">
        <v>0.3272</v>
      </c>
      <c r="C28" s="10">
        <v>0.2572</v>
      </c>
      <c r="D28" s="10">
        <v>0.2185</v>
      </c>
      <c r="E28" s="10">
        <v>0.1409</v>
      </c>
      <c r="F28" s="10">
        <v>0.0852</v>
      </c>
      <c r="G28" s="10">
        <v>0.0595</v>
      </c>
      <c r="H28" s="10">
        <v>0.0394</v>
      </c>
      <c r="I28">
        <f t="shared" si="1"/>
        <v>24</v>
      </c>
    </row>
    <row r="29" spans="1:9" ht="15.75">
      <c r="A29" s="7" t="s">
        <v>187</v>
      </c>
      <c r="B29" s="10">
        <v>0.1748</v>
      </c>
      <c r="C29" s="10">
        <v>0.0616</v>
      </c>
      <c r="D29" s="10">
        <v>0.0233</v>
      </c>
      <c r="E29" s="10">
        <v>0.0062</v>
      </c>
      <c r="F29" s="10">
        <v>-0.0002</v>
      </c>
      <c r="G29" s="10">
        <v>0.0005</v>
      </c>
      <c r="H29" s="10">
        <v>0.0037</v>
      </c>
      <c r="I29">
        <f t="shared" si="1"/>
        <v>25</v>
      </c>
    </row>
    <row r="30" spans="1:9" ht="12.75">
      <c r="A30" s="7"/>
      <c r="B30" s="10"/>
      <c r="C30" s="10"/>
      <c r="D30" s="10"/>
      <c r="E30" s="10"/>
      <c r="F30" s="10"/>
      <c r="G30" s="10"/>
      <c r="H30" s="10"/>
      <c r="I30">
        <f t="shared" si="1"/>
        <v>26</v>
      </c>
    </row>
    <row r="31" spans="1:9" ht="15.75">
      <c r="A31" s="7" t="s">
        <v>188</v>
      </c>
      <c r="B31" s="10">
        <v>0.081</v>
      </c>
      <c r="C31" s="10">
        <v>0.145</v>
      </c>
      <c r="D31" s="10">
        <v>0.1907</v>
      </c>
      <c r="E31" s="10">
        <v>0.2283</v>
      </c>
      <c r="F31" s="10">
        <v>0.2736</v>
      </c>
      <c r="G31" s="10">
        <v>0.2983</v>
      </c>
      <c r="H31" s="10">
        <v>0.3224</v>
      </c>
      <c r="I31">
        <f t="shared" si="1"/>
        <v>27</v>
      </c>
    </row>
    <row r="32" spans="1:9" ht="15.75">
      <c r="A32" s="7" t="s">
        <v>189</v>
      </c>
      <c r="B32" s="10">
        <v>0.0959</v>
      </c>
      <c r="C32" s="10">
        <v>0.1695</v>
      </c>
      <c r="D32" s="10">
        <v>0.2183</v>
      </c>
      <c r="E32" s="10">
        <v>0.2546</v>
      </c>
      <c r="F32" s="10">
        <v>0.2945</v>
      </c>
      <c r="G32" s="10">
        <v>0.3153</v>
      </c>
      <c r="H32" s="10">
        <v>0.3329</v>
      </c>
      <c r="I32">
        <f t="shared" si="1"/>
        <v>28</v>
      </c>
    </row>
    <row r="33" spans="1:9" ht="15.75">
      <c r="A33" s="7" t="s">
        <v>190</v>
      </c>
      <c r="B33" s="10">
        <v>0.1015</v>
      </c>
      <c r="C33" s="10">
        <v>0.1773</v>
      </c>
      <c r="D33" s="10">
        <v>0.2269</v>
      </c>
      <c r="E33" s="10">
        <v>0.2625</v>
      </c>
      <c r="F33" s="10">
        <v>0.3005</v>
      </c>
      <c r="G33" s="10">
        <v>0.3202</v>
      </c>
      <c r="H33" s="10">
        <v>0.3356</v>
      </c>
      <c r="I33">
        <f t="shared" si="1"/>
        <v>29</v>
      </c>
    </row>
    <row r="34" spans="1:9" ht="12.75">
      <c r="A34" s="7"/>
      <c r="B34" s="10"/>
      <c r="C34" s="10"/>
      <c r="D34" s="10"/>
      <c r="E34" s="10"/>
      <c r="F34" s="10"/>
      <c r="G34" s="10"/>
      <c r="H34" s="10"/>
      <c r="I34">
        <f t="shared" si="1"/>
        <v>30</v>
      </c>
    </row>
    <row r="35" spans="1:9" ht="12.75">
      <c r="A35" s="7"/>
      <c r="B35" s="53">
        <v>1</v>
      </c>
      <c r="C35" s="53">
        <f aca="true" t="shared" si="2" ref="C35:H35">B35+1</f>
        <v>2</v>
      </c>
      <c r="D35" s="53">
        <f t="shared" si="2"/>
        <v>3</v>
      </c>
      <c r="E35" s="53">
        <f t="shared" si="2"/>
        <v>4</v>
      </c>
      <c r="F35" s="53">
        <f t="shared" si="2"/>
        <v>5</v>
      </c>
      <c r="G35" s="53">
        <f t="shared" si="2"/>
        <v>6</v>
      </c>
      <c r="H35" s="53">
        <f t="shared" si="2"/>
        <v>7</v>
      </c>
      <c r="I35">
        <f t="shared" si="1"/>
        <v>31</v>
      </c>
    </row>
    <row r="36" spans="1:9" ht="12.75">
      <c r="A36" s="7"/>
      <c r="B36" s="1">
        <f aca="true" t="shared" si="3" ref="B36:H36">B4</f>
        <v>0.25</v>
      </c>
      <c r="C36" s="1">
        <f t="shared" si="3"/>
        <v>0.5</v>
      </c>
      <c r="D36" s="1">
        <f t="shared" si="3"/>
        <v>0.75</v>
      </c>
      <c r="E36" s="1">
        <f t="shared" si="3"/>
        <v>1</v>
      </c>
      <c r="F36" s="1">
        <f t="shared" si="3"/>
        <v>1.5</v>
      </c>
      <c r="G36" s="1">
        <f t="shared" si="3"/>
        <v>2</v>
      </c>
      <c r="H36" s="1">
        <f t="shared" si="3"/>
        <v>3</v>
      </c>
      <c r="I36">
        <f t="shared" si="1"/>
        <v>32</v>
      </c>
    </row>
    <row r="37" spans="1:7" ht="12.75">
      <c r="A37" s="8"/>
      <c r="B37" s="10"/>
      <c r="C37" s="10"/>
      <c r="D37" s="10"/>
      <c r="E37" s="10"/>
      <c r="F37" s="10"/>
      <c r="G37" s="10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K56"/>
  <sheetViews>
    <sheetView workbookViewId="0" topLeftCell="A15">
      <selection activeCell="G20" sqref="G20"/>
    </sheetView>
  </sheetViews>
  <sheetFormatPr defaultColWidth="8.7109375" defaultRowHeight="12.75"/>
  <cols>
    <col min="1" max="11" width="8.28125" style="0" customWidth="1"/>
    <col min="12" max="16384" width="11.421875" customWidth="1"/>
  </cols>
  <sheetData>
    <row r="1" spans="1:9" ht="12.75">
      <c r="A1" t="s">
        <v>161</v>
      </c>
      <c r="E1" t="s">
        <v>191</v>
      </c>
      <c r="G1" s="105"/>
      <c r="H1" s="90" t="s">
        <v>192</v>
      </c>
      <c r="I1" t="s">
        <v>193</v>
      </c>
    </row>
    <row r="4" spans="1:10" ht="12.75">
      <c r="A4" s="9" t="s">
        <v>164</v>
      </c>
      <c r="B4" s="106">
        <v>0</v>
      </c>
      <c r="C4" s="8">
        <v>0.25</v>
      </c>
      <c r="D4" s="8">
        <v>0.5</v>
      </c>
      <c r="E4" s="8">
        <v>0.75</v>
      </c>
      <c r="F4" s="8">
        <v>1</v>
      </c>
      <c r="G4" s="8">
        <v>1.5</v>
      </c>
      <c r="H4" s="8">
        <v>2</v>
      </c>
      <c r="I4" s="1">
        <v>3</v>
      </c>
      <c r="J4" s="107">
        <v>10</v>
      </c>
    </row>
    <row r="5" spans="1:11" ht="15.75">
      <c r="A5" s="7" t="s">
        <v>165</v>
      </c>
      <c r="B5" s="7"/>
      <c r="C5" s="10">
        <v>-0.0064</v>
      </c>
      <c r="D5" s="10">
        <v>-0.0088</v>
      </c>
      <c r="E5" s="10">
        <v>-0.0148</v>
      </c>
      <c r="F5" s="10">
        <v>-0.0151</v>
      </c>
      <c r="G5" s="10">
        <v>-0.018</v>
      </c>
      <c r="H5" s="52">
        <v>-0.0161</v>
      </c>
      <c r="I5" s="52">
        <v>-0.00952</v>
      </c>
      <c r="J5" s="108">
        <v>0</v>
      </c>
      <c r="K5">
        <v>1</v>
      </c>
    </row>
    <row r="6" spans="1:11" ht="15.75">
      <c r="A6" s="7" t="s">
        <v>166</v>
      </c>
      <c r="B6" s="7"/>
      <c r="C6" s="10">
        <v>0.0032</v>
      </c>
      <c r="D6" s="10">
        <v>0.0056</v>
      </c>
      <c r="E6" s="10">
        <v>0.0101</v>
      </c>
      <c r="F6" s="10">
        <v>0.0097</v>
      </c>
      <c r="G6" s="10">
        <v>0.0095</v>
      </c>
      <c r="H6" s="52">
        <v>0.0069</v>
      </c>
      <c r="I6" s="52">
        <v>0.00264</v>
      </c>
      <c r="J6" s="108">
        <v>0</v>
      </c>
      <c r="K6">
        <f>K5+1</f>
        <v>2</v>
      </c>
    </row>
    <row r="7" spans="1:11" ht="15.75">
      <c r="A7" s="7" t="s">
        <v>167</v>
      </c>
      <c r="B7" s="7"/>
      <c r="C7" s="10">
        <v>-0.0176</v>
      </c>
      <c r="D7" s="10">
        <v>-0.0184</v>
      </c>
      <c r="E7" s="10">
        <v>-0.0263</v>
      </c>
      <c r="F7" s="10">
        <v>-0.0216</v>
      </c>
      <c r="G7" s="10">
        <v>-0.0192</v>
      </c>
      <c r="H7" s="52">
        <v>-0.01502</v>
      </c>
      <c r="I7" s="52">
        <v>-0.00811</v>
      </c>
      <c r="J7" s="108">
        <v>0</v>
      </c>
      <c r="K7">
        <f aca="true" t="shared" si="0" ref="K7:K22">K6+1</f>
        <v>3</v>
      </c>
    </row>
    <row r="8" spans="1:11" ht="15.75">
      <c r="A8" s="7" t="s">
        <v>168</v>
      </c>
      <c r="B8" s="7"/>
      <c r="C8" s="10">
        <v>0.008</v>
      </c>
      <c r="D8" s="10">
        <v>0.0096</v>
      </c>
      <c r="E8" s="10">
        <v>0.0139</v>
      </c>
      <c r="F8" s="10">
        <v>0.0112</v>
      </c>
      <c r="G8" s="10">
        <v>0.0091</v>
      </c>
      <c r="H8" s="52">
        <v>0.00612</v>
      </c>
      <c r="I8" s="52">
        <v>0.0022</v>
      </c>
      <c r="J8" s="108">
        <v>0</v>
      </c>
      <c r="K8">
        <f t="shared" si="0"/>
        <v>4</v>
      </c>
    </row>
    <row r="9" spans="1:11" ht="15.75">
      <c r="A9" s="7" t="s">
        <v>169</v>
      </c>
      <c r="B9" s="7"/>
      <c r="C9" s="10">
        <v>-0.0336</v>
      </c>
      <c r="D9" s="10">
        <v>-0.0332</v>
      </c>
      <c r="E9" s="10">
        <v>-0.0396</v>
      </c>
      <c r="F9" s="10">
        <v>-0.0273</v>
      </c>
      <c r="G9" s="10">
        <v>-0.0189</v>
      </c>
      <c r="H9" s="52">
        <v>-0.01288</v>
      </c>
      <c r="I9" s="52">
        <v>-0.00622</v>
      </c>
      <c r="J9" s="108">
        <v>0</v>
      </c>
      <c r="K9">
        <f t="shared" si="0"/>
        <v>5</v>
      </c>
    </row>
    <row r="10" spans="1:11" ht="15.75">
      <c r="A10" s="7" t="s">
        <v>170</v>
      </c>
      <c r="B10" s="7"/>
      <c r="C10" s="10">
        <v>0.0176</v>
      </c>
      <c r="D10" s="10">
        <v>0.0168</v>
      </c>
      <c r="E10" s="10">
        <v>0.0198</v>
      </c>
      <c r="F10" s="10">
        <v>0.0132</v>
      </c>
      <c r="G10" s="10">
        <v>0.0084</v>
      </c>
      <c r="H10" s="52">
        <v>0.00502</v>
      </c>
      <c r="I10" s="52">
        <v>0.00157</v>
      </c>
      <c r="J10" s="108">
        <v>0</v>
      </c>
      <c r="K10">
        <f t="shared" si="0"/>
        <v>6</v>
      </c>
    </row>
    <row r="11" spans="1:11" ht="15.75">
      <c r="A11" s="7" t="s">
        <v>171</v>
      </c>
      <c r="B11" s="7"/>
      <c r="C11" s="10">
        <v>-0.0496</v>
      </c>
      <c r="D11" s="10">
        <v>-0.0456</v>
      </c>
      <c r="E11" s="10">
        <v>-0.0468</v>
      </c>
      <c r="F11" s="10">
        <v>-0.0277</v>
      </c>
      <c r="G11" s="10">
        <v>-0.0155</v>
      </c>
      <c r="H11" s="52">
        <v>-0.0093</v>
      </c>
      <c r="I11" s="52">
        <v>-0.00399</v>
      </c>
      <c r="J11" s="108">
        <v>0</v>
      </c>
      <c r="K11">
        <f t="shared" si="0"/>
        <v>7</v>
      </c>
    </row>
    <row r="12" spans="1:11" ht="15.75">
      <c r="A12" s="7" t="s">
        <v>172</v>
      </c>
      <c r="B12" s="7"/>
      <c r="C12" s="10">
        <v>0.0256</v>
      </c>
      <c r="D12" s="10">
        <v>0.0228</v>
      </c>
      <c r="E12" s="10">
        <v>0.0223</v>
      </c>
      <c r="F12" s="10">
        <v>0.0125</v>
      </c>
      <c r="G12" s="10">
        <v>0.0061</v>
      </c>
      <c r="H12" s="52">
        <v>0.00305</v>
      </c>
      <c r="I12" s="52">
        <v>0.00059</v>
      </c>
      <c r="J12" s="108">
        <v>0</v>
      </c>
      <c r="K12">
        <f t="shared" si="0"/>
        <v>8</v>
      </c>
    </row>
    <row r="13" spans="1:11" ht="15.75">
      <c r="A13" s="7" t="s">
        <v>173</v>
      </c>
      <c r="B13" s="7"/>
      <c r="C13" s="10">
        <v>-0.0608</v>
      </c>
      <c r="D13" s="10">
        <v>-0.0408</v>
      </c>
      <c r="E13" s="10">
        <v>-0.0326</v>
      </c>
      <c r="F13" s="10">
        <v>-0.016</v>
      </c>
      <c r="G13" s="10">
        <v>-0.0072</v>
      </c>
      <c r="H13" s="52">
        <v>-0.00385</v>
      </c>
      <c r="I13" s="52">
        <v>-0.00147</v>
      </c>
      <c r="J13" s="108">
        <v>0</v>
      </c>
      <c r="K13">
        <f t="shared" si="0"/>
        <v>9</v>
      </c>
    </row>
    <row r="14" spans="1:11" ht="15.75">
      <c r="A14" s="7" t="s">
        <v>174</v>
      </c>
      <c r="B14" s="7"/>
      <c r="C14" s="10">
        <v>0.0304</v>
      </c>
      <c r="D14" s="10">
        <v>0.0188</v>
      </c>
      <c r="E14" s="10">
        <v>0.0137</v>
      </c>
      <c r="F14" s="10">
        <v>0.0058</v>
      </c>
      <c r="G14" s="10">
        <v>0.0015</v>
      </c>
      <c r="H14" s="52">
        <v>-8E-05</v>
      </c>
      <c r="I14" s="52">
        <v>-0.00084</v>
      </c>
      <c r="J14" s="108">
        <v>0</v>
      </c>
      <c r="K14">
        <f t="shared" si="0"/>
        <v>10</v>
      </c>
    </row>
    <row r="15" spans="1:11" ht="12.75">
      <c r="A15" s="7"/>
      <c r="B15" s="7"/>
      <c r="C15" s="10"/>
      <c r="D15" s="10"/>
      <c r="E15" s="10"/>
      <c r="F15" s="10"/>
      <c r="G15" s="10"/>
      <c r="H15" s="52"/>
      <c r="I15" s="52"/>
      <c r="J15" s="52"/>
      <c r="K15">
        <f t="shared" si="0"/>
        <v>11</v>
      </c>
    </row>
    <row r="16" spans="1:11" ht="15.75">
      <c r="A16" s="7" t="s">
        <v>175</v>
      </c>
      <c r="B16" s="7"/>
      <c r="C16" s="10">
        <v>0.0001</v>
      </c>
      <c r="D16" s="10">
        <v>0.0002</v>
      </c>
      <c r="E16" s="10">
        <v>0.0007</v>
      </c>
      <c r="F16" s="10">
        <v>0.0022</v>
      </c>
      <c r="G16" s="10">
        <v>0.0067</v>
      </c>
      <c r="H16" s="10">
        <v>0.0095</v>
      </c>
      <c r="I16" s="10">
        <v>0.0085</v>
      </c>
      <c r="J16" s="109">
        <v>-0.0013</v>
      </c>
      <c r="K16">
        <f t="shared" si="0"/>
        <v>12</v>
      </c>
    </row>
    <row r="17" spans="1:11" ht="15.75">
      <c r="A17" s="7" t="s">
        <v>176</v>
      </c>
      <c r="B17" s="7"/>
      <c r="C17" s="10">
        <v>0.0002</v>
      </c>
      <c r="D17" s="10">
        <v>0.001</v>
      </c>
      <c r="E17" s="10">
        <v>0.0032</v>
      </c>
      <c r="F17" s="10">
        <v>0.007</v>
      </c>
      <c r="G17" s="10">
        <v>0.0139</v>
      </c>
      <c r="H17" s="10">
        <v>0.0159</v>
      </c>
      <c r="I17" s="10">
        <v>0.0094</v>
      </c>
      <c r="J17" s="109">
        <v>-0.0107</v>
      </c>
      <c r="K17">
        <f t="shared" si="0"/>
        <v>13</v>
      </c>
    </row>
    <row r="18" spans="1:11" ht="15.75">
      <c r="A18" s="7" t="s">
        <v>177</v>
      </c>
      <c r="B18" s="7"/>
      <c r="C18" s="10">
        <v>0.0003</v>
      </c>
      <c r="D18" s="10">
        <v>0.0021</v>
      </c>
      <c r="E18" s="10">
        <v>0.0061</v>
      </c>
      <c r="F18" s="10">
        <v>0.0104</v>
      </c>
      <c r="G18" s="10">
        <v>0.0143</v>
      </c>
      <c r="H18" s="10">
        <v>0.0107</v>
      </c>
      <c r="I18" s="10">
        <v>-0.0059</v>
      </c>
      <c r="J18" s="109">
        <v>-0.036</v>
      </c>
      <c r="K18">
        <f t="shared" si="0"/>
        <v>14</v>
      </c>
    </row>
    <row r="19" spans="1:11" ht="15.75">
      <c r="A19" s="7" t="s">
        <v>178</v>
      </c>
      <c r="B19" s="7"/>
      <c r="C19" s="10">
        <v>0.0005</v>
      </c>
      <c r="D19" s="10">
        <v>0.0031</v>
      </c>
      <c r="E19" s="10">
        <v>0.0051</v>
      </c>
      <c r="F19" s="10">
        <v>0.0046</v>
      </c>
      <c r="G19" s="10">
        <v>0.0035</v>
      </c>
      <c r="H19" s="10">
        <v>-0.0175</v>
      </c>
      <c r="I19" s="10">
        <v>-0.0474</v>
      </c>
      <c r="J19" s="109">
        <v>-0.0853</v>
      </c>
      <c r="K19">
        <f t="shared" si="0"/>
        <v>15</v>
      </c>
    </row>
    <row r="20" spans="1:11" ht="15.75">
      <c r="A20" s="7" t="s">
        <v>179</v>
      </c>
      <c r="B20" s="7"/>
      <c r="C20" s="10">
        <v>-0.0023</v>
      </c>
      <c r="D20" s="10">
        <v>-0.0081</v>
      </c>
      <c r="E20" s="10">
        <v>-0.0152</v>
      </c>
      <c r="F20" s="10">
        <v>-0.0252</v>
      </c>
      <c r="G20" s="10">
        <v>-0.0465</v>
      </c>
      <c r="H20" s="10">
        <v>-0.0683</v>
      </c>
      <c r="I20" s="10">
        <v>-0.1062</v>
      </c>
      <c r="J20" s="109">
        <v>-0.1667</v>
      </c>
      <c r="K20">
        <f t="shared" si="0"/>
        <v>16</v>
      </c>
    </row>
    <row r="21" spans="1:11" ht="15.75">
      <c r="A21" s="7" t="s">
        <v>180</v>
      </c>
      <c r="B21" s="7"/>
      <c r="C21" s="10">
        <v>-0.0028</v>
      </c>
      <c r="D21" s="10">
        <v>-0.01</v>
      </c>
      <c r="E21" s="10">
        <v>-0.0188</v>
      </c>
      <c r="F21" s="10">
        <v>-0.0307</v>
      </c>
      <c r="G21" s="10">
        <v>-0.0544</v>
      </c>
      <c r="H21" s="10">
        <v>-0.0804</v>
      </c>
      <c r="I21" s="10">
        <v>-0.1214</v>
      </c>
      <c r="J21" s="109">
        <v>-0.1667</v>
      </c>
      <c r="K21">
        <f t="shared" si="0"/>
        <v>17</v>
      </c>
    </row>
    <row r="22" spans="1:11" ht="15.75">
      <c r="A22" s="7" t="s">
        <v>181</v>
      </c>
      <c r="B22" s="7"/>
      <c r="C22" s="10">
        <v>-0.003</v>
      </c>
      <c r="D22" s="10">
        <v>-0.0107</v>
      </c>
      <c r="E22" s="10">
        <v>-0.02</v>
      </c>
      <c r="F22" s="10">
        <v>-0.0325</v>
      </c>
      <c r="G22" s="10">
        <v>-0.0584</v>
      </c>
      <c r="H22" s="10">
        <v>-0.0845</v>
      </c>
      <c r="I22" s="10">
        <v>-0.1262</v>
      </c>
      <c r="J22" s="109">
        <v>-0.1667</v>
      </c>
      <c r="K22">
        <f t="shared" si="0"/>
        <v>18</v>
      </c>
    </row>
    <row r="23" spans="1:11" ht="12.75">
      <c r="A23" s="7"/>
      <c r="B23" s="7"/>
      <c r="C23" s="10"/>
      <c r="D23" s="10"/>
      <c r="E23" s="10"/>
      <c r="F23" s="10"/>
      <c r="G23" s="10"/>
      <c r="H23" s="10"/>
      <c r="I23" s="10"/>
      <c r="J23" s="10"/>
      <c r="K23">
        <f aca="true" t="shared" si="1" ref="K23:K36">K22+1</f>
        <v>19</v>
      </c>
    </row>
    <row r="24" spans="1:11" ht="15.75">
      <c r="A24" s="7" t="s">
        <v>182</v>
      </c>
      <c r="B24" s="7"/>
      <c r="C24" s="10">
        <v>0.0328</v>
      </c>
      <c r="D24" s="10">
        <v>0.0294</v>
      </c>
      <c r="E24" s="10">
        <v>0.0283</v>
      </c>
      <c r="F24" s="10">
        <v>0.0326</v>
      </c>
      <c r="G24" s="10">
        <v>0.0707</v>
      </c>
      <c r="H24" s="10">
        <v>0.0992</v>
      </c>
      <c r="I24" s="10">
        <v>0.1041</v>
      </c>
      <c r="J24" s="109">
        <v>0.1041</v>
      </c>
      <c r="K24">
        <f t="shared" si="1"/>
        <v>20</v>
      </c>
    </row>
    <row r="25" spans="1:11" ht="15.75">
      <c r="A25" s="7" t="s">
        <v>183</v>
      </c>
      <c r="B25" s="7"/>
      <c r="C25" s="10">
        <v>0.1004</v>
      </c>
      <c r="D25" s="10">
        <v>0.1046</v>
      </c>
      <c r="E25" s="10">
        <v>0.1328</v>
      </c>
      <c r="F25" s="10">
        <v>0.1315</v>
      </c>
      <c r="G25" s="10">
        <v>0.1383</v>
      </c>
      <c r="H25" s="10">
        <v>0.1282</v>
      </c>
      <c r="I25" s="10">
        <v>0.0975</v>
      </c>
      <c r="J25" s="109">
        <v>0.0975</v>
      </c>
      <c r="K25">
        <f t="shared" si="1"/>
        <v>21</v>
      </c>
    </row>
    <row r="26" spans="1:11" ht="15.75">
      <c r="A26" s="7" t="s">
        <v>184</v>
      </c>
      <c r="B26" s="7"/>
      <c r="C26" s="10">
        <v>0.1984</v>
      </c>
      <c r="D26" s="10">
        <v>0.203</v>
      </c>
      <c r="E26" s="10">
        <v>0.231</v>
      </c>
      <c r="F26" s="10">
        <v>0.1972</v>
      </c>
      <c r="G26" s="10">
        <v>0.1604</v>
      </c>
      <c r="H26" s="10">
        <v>0.1242</v>
      </c>
      <c r="I26" s="10">
        <v>0.0784</v>
      </c>
      <c r="J26" s="109">
        <v>0.0784</v>
      </c>
      <c r="K26">
        <f t="shared" si="1"/>
        <v>22</v>
      </c>
    </row>
    <row r="27" spans="1:11" ht="15.75">
      <c r="A27" s="7" t="s">
        <v>185</v>
      </c>
      <c r="B27" s="7"/>
      <c r="C27" s="10">
        <v>0.3004</v>
      </c>
      <c r="D27" s="10">
        <v>0.3028</v>
      </c>
      <c r="E27" s="10">
        <v>0.316</v>
      </c>
      <c r="F27" s="10">
        <v>0.2421</v>
      </c>
      <c r="G27" s="10">
        <v>0.1695</v>
      </c>
      <c r="H27" s="10">
        <v>0.1205</v>
      </c>
      <c r="I27" s="10">
        <v>0.0715</v>
      </c>
      <c r="J27" s="109">
        <v>0.0715</v>
      </c>
      <c r="K27">
        <f t="shared" si="1"/>
        <v>23</v>
      </c>
    </row>
    <row r="28" spans="1:11" ht="15.75">
      <c r="A28" s="7" t="s">
        <v>186</v>
      </c>
      <c r="B28" s="7"/>
      <c r="C28" s="10">
        <v>0.3768</v>
      </c>
      <c r="D28" s="10">
        <v>0.2988</v>
      </c>
      <c r="E28" s="10">
        <v>0.2537</v>
      </c>
      <c r="F28" s="10">
        <v>0.1607</v>
      </c>
      <c r="G28" s="10">
        <v>0.0891</v>
      </c>
      <c r="H28" s="10">
        <v>0.0554</v>
      </c>
      <c r="I28" s="10">
        <v>0.0299</v>
      </c>
      <c r="J28" s="109">
        <v>0.0299</v>
      </c>
      <c r="K28">
        <f t="shared" si="1"/>
        <v>24</v>
      </c>
    </row>
    <row r="29" spans="1:11" ht="15.75">
      <c r="A29" s="7" t="s">
        <v>187</v>
      </c>
      <c r="B29" s="7"/>
      <c r="C29" s="10">
        <v>0.184</v>
      </c>
      <c r="D29" s="10">
        <v>0.0608</v>
      </c>
      <c r="E29" s="10">
        <v>0.0153</v>
      </c>
      <c r="F29" s="10">
        <v>-0.0045</v>
      </c>
      <c r="G29" s="10">
        <v>-0.0131</v>
      </c>
      <c r="H29" s="10">
        <v>-0.012</v>
      </c>
      <c r="I29" s="10">
        <v>-0.0068</v>
      </c>
      <c r="J29" s="109">
        <v>-0.0068</v>
      </c>
      <c r="K29">
        <f t="shared" si="1"/>
        <v>25</v>
      </c>
    </row>
    <row r="30" spans="1:11" ht="12.75">
      <c r="A30" s="7"/>
      <c r="B30" s="7"/>
      <c r="C30" s="10"/>
      <c r="D30" s="10"/>
      <c r="E30" s="10"/>
      <c r="F30" s="10"/>
      <c r="G30" s="10"/>
      <c r="H30" s="10"/>
      <c r="I30" s="10"/>
      <c r="J30" s="10"/>
      <c r="K30">
        <f t="shared" si="1"/>
        <v>26</v>
      </c>
    </row>
    <row r="31" spans="1:11" ht="15.75">
      <c r="A31" s="7" t="s">
        <v>188</v>
      </c>
      <c r="B31" s="7"/>
      <c r="C31" s="10">
        <v>0.0839</v>
      </c>
      <c r="D31" s="10">
        <v>0.1563</v>
      </c>
      <c r="E31" s="10">
        <v>0.2154</v>
      </c>
      <c r="F31" s="10">
        <v>0.2699</v>
      </c>
      <c r="G31" s="10">
        <v>0.3496</v>
      </c>
      <c r="H31" s="10">
        <v>0.4038</v>
      </c>
      <c r="I31" s="10">
        <v>0.4668</v>
      </c>
      <c r="J31" s="109">
        <v>0.5</v>
      </c>
      <c r="K31">
        <f t="shared" si="1"/>
        <v>27</v>
      </c>
    </row>
    <row r="32" spans="1:11" ht="15.75">
      <c r="A32" s="7" t="s">
        <v>189</v>
      </c>
      <c r="B32" s="7"/>
      <c r="C32" s="10">
        <v>0.1004</v>
      </c>
      <c r="D32" s="10">
        <v>0.1856</v>
      </c>
      <c r="E32" s="10">
        <v>0.2526</v>
      </c>
      <c r="F32" s="10">
        <v>0.3108</v>
      </c>
      <c r="G32" s="10">
        <v>0.3923</v>
      </c>
      <c r="H32" s="10">
        <v>0.4457</v>
      </c>
      <c r="I32" s="10">
        <v>0.4966</v>
      </c>
      <c r="J32" s="109">
        <v>0.5</v>
      </c>
      <c r="K32">
        <f t="shared" si="1"/>
        <v>28</v>
      </c>
    </row>
    <row r="33" spans="1:11" ht="15.75">
      <c r="A33" s="7" t="s">
        <v>190</v>
      </c>
      <c r="B33" s="7"/>
      <c r="C33" s="10">
        <v>0.1056</v>
      </c>
      <c r="D33" s="10">
        <v>0.2336</v>
      </c>
      <c r="E33" s="10">
        <v>0.2645</v>
      </c>
      <c r="F33" s="10">
        <v>0.3236</v>
      </c>
      <c r="G33" s="10">
        <v>0.4055</v>
      </c>
      <c r="H33" s="10">
        <v>0.4584</v>
      </c>
      <c r="I33" s="10">
        <v>0.5047</v>
      </c>
      <c r="J33" s="109">
        <v>0.5</v>
      </c>
      <c r="K33">
        <f t="shared" si="1"/>
        <v>29</v>
      </c>
    </row>
    <row r="34" spans="1:11" ht="12.75">
      <c r="A34" s="7"/>
      <c r="B34" s="7"/>
      <c r="C34" s="10"/>
      <c r="D34" s="10"/>
      <c r="E34" s="10"/>
      <c r="F34" s="10"/>
      <c r="G34" s="10"/>
      <c r="H34" s="10"/>
      <c r="I34" s="10"/>
      <c r="J34" s="10"/>
      <c r="K34">
        <f t="shared" si="1"/>
        <v>30</v>
      </c>
    </row>
    <row r="35" spans="1:11" ht="12.75">
      <c r="A35" s="7"/>
      <c r="B35" s="53">
        <v>1</v>
      </c>
      <c r="C35" s="53">
        <f aca="true" t="shared" si="2" ref="C35:J35">B35+1</f>
        <v>2</v>
      </c>
      <c r="D35" s="53">
        <f t="shared" si="2"/>
        <v>3</v>
      </c>
      <c r="E35" s="53">
        <f t="shared" si="2"/>
        <v>4</v>
      </c>
      <c r="F35" s="53">
        <f t="shared" si="2"/>
        <v>5</v>
      </c>
      <c r="G35" s="53">
        <f t="shared" si="2"/>
        <v>6</v>
      </c>
      <c r="H35" s="53">
        <f t="shared" si="2"/>
        <v>7</v>
      </c>
      <c r="I35" s="53">
        <f t="shared" si="2"/>
        <v>8</v>
      </c>
      <c r="J35" s="53">
        <f t="shared" si="2"/>
        <v>9</v>
      </c>
      <c r="K35">
        <f t="shared" si="1"/>
        <v>31</v>
      </c>
    </row>
    <row r="36" spans="1:11" ht="12.75">
      <c r="A36" s="7"/>
      <c r="B36" s="1">
        <f aca="true" t="shared" si="3" ref="B36:J36">B4</f>
        <v>0</v>
      </c>
      <c r="C36" s="1">
        <f t="shared" si="3"/>
        <v>0.25</v>
      </c>
      <c r="D36" s="1">
        <f t="shared" si="3"/>
        <v>0.5</v>
      </c>
      <c r="E36" s="1">
        <f t="shared" si="3"/>
        <v>0.75</v>
      </c>
      <c r="F36" s="1">
        <f t="shared" si="3"/>
        <v>1</v>
      </c>
      <c r="G36" s="1">
        <f t="shared" si="3"/>
        <v>1.5</v>
      </c>
      <c r="H36" s="1">
        <f t="shared" si="3"/>
        <v>2</v>
      </c>
      <c r="I36" s="1">
        <f t="shared" si="3"/>
        <v>3</v>
      </c>
      <c r="J36" s="1">
        <f t="shared" si="3"/>
        <v>10</v>
      </c>
      <c r="K36">
        <f t="shared" si="1"/>
        <v>32</v>
      </c>
    </row>
    <row r="37" spans="1:8" ht="12.75">
      <c r="A37" s="8"/>
      <c r="B37" s="8"/>
      <c r="C37" s="10"/>
      <c r="D37" s="10"/>
      <c r="E37" s="10"/>
      <c r="F37" s="10"/>
      <c r="G37" s="10"/>
      <c r="H37" s="10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7" ht="12.75">
      <c r="A41" s="8"/>
      <c r="B41" s="8"/>
      <c r="F41" s="18" t="s">
        <v>194</v>
      </c>
      <c r="G41" s="18" t="s">
        <v>195</v>
      </c>
    </row>
    <row r="42" spans="1:8" ht="14.25">
      <c r="A42" s="8"/>
      <c r="B42" s="8"/>
      <c r="F42" s="8">
        <v>0</v>
      </c>
      <c r="G42" s="10">
        <f>(1-F42)^3/6</f>
        <v>0.16666666666666666</v>
      </c>
      <c r="H42" t="s">
        <v>196</v>
      </c>
    </row>
    <row r="43" spans="1:8" ht="14.25">
      <c r="A43" s="8"/>
      <c r="B43" s="8"/>
      <c r="F43" s="8">
        <v>0.2</v>
      </c>
      <c r="G43" s="10">
        <f>(1-F43)^3/6</f>
        <v>0.08533333333333336</v>
      </c>
      <c r="H43" t="s">
        <v>196</v>
      </c>
    </row>
    <row r="44" spans="1:8" ht="14.25">
      <c r="A44" s="8"/>
      <c r="B44" s="8"/>
      <c r="F44" s="8">
        <v>0.4</v>
      </c>
      <c r="G44" s="10">
        <f>(1-F44)^3/6</f>
        <v>0.036</v>
      </c>
      <c r="H44" t="s">
        <v>196</v>
      </c>
    </row>
    <row r="45" spans="1:8" ht="14.25">
      <c r="A45" s="8"/>
      <c r="B45" s="8"/>
      <c r="F45" s="8">
        <v>0.6</v>
      </c>
      <c r="G45" s="10">
        <f>(1-F45)^3/6</f>
        <v>0.01066666666666667</v>
      </c>
      <c r="H45" t="s">
        <v>196</v>
      </c>
    </row>
    <row r="46" spans="1:8" ht="14.25">
      <c r="A46" s="8"/>
      <c r="B46" s="8"/>
      <c r="F46" s="8">
        <v>0.8</v>
      </c>
      <c r="G46" s="10">
        <f>(1-F46)^3/6</f>
        <v>0.0013333333333333324</v>
      </c>
      <c r="H46" t="s">
        <v>196</v>
      </c>
    </row>
    <row r="47" spans="1:8" ht="14.25">
      <c r="A47" s="8"/>
      <c r="B47" s="8"/>
      <c r="F47" s="8">
        <v>1</v>
      </c>
      <c r="G47" s="10">
        <f>(1-F47)^3/6</f>
        <v>0</v>
      </c>
      <c r="H47" t="s">
        <v>196</v>
      </c>
    </row>
    <row r="48" spans="1:2" ht="12.75">
      <c r="A48" s="8"/>
      <c r="B48" s="8"/>
    </row>
    <row r="56" spans="7:10" ht="12.75">
      <c r="G56" s="111" t="s">
        <v>197</v>
      </c>
      <c r="I56" s="6">
        <v>0.5</v>
      </c>
      <c r="J56" t="s">
        <v>198</v>
      </c>
    </row>
  </sheetData>
  <sheetProtection sheet="1" objects="1" scenarios="1"/>
  <printOptions/>
  <pageMargins left="0.5905511811023623" right="0.5905511811023623" top="0.5905511811023623" bottom="0.5905511811023623" header="0.31496062992125984" footer="0.5118110236220472"/>
  <pageSetup horizontalDpi="300" verticalDpi="300" orientation="portrait" paperSize="9" r:id="rId4"/>
  <headerFooter alignWithMargins="0">
    <oddHeader>&amp;C&amp;A</oddHeader>
    <oddFooter>&amp;CPage &amp;P</oddFooter>
  </headerFooter>
  <drawing r:id="rId3"/>
  <legacyDrawing r:id="rId2"/>
  <oleObjects>
    <oleObject progId="Equation.2" shapeId="3358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EUROCONCEPT INGENIERIE</dc:creator>
  <cp:keywords/>
  <dc:description/>
  <cp:lastModifiedBy>Edouard MOREAU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