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tabRatio="599" activeTab="0"/>
  </bookViews>
  <sheets>
    <sheet name="murs" sheetId="1" r:id="rId1"/>
  </sheets>
  <definedNames>
    <definedName name="d">'murs'!$C$26</definedName>
    <definedName name="De">'murs'!$C$31</definedName>
    <definedName name="dprime">'murs'!$C$27</definedName>
    <definedName name="e0">'murs'!$C$28</definedName>
    <definedName name="et">'murs'!$C$29</definedName>
    <definedName name="gammab">'murs'!$G$157</definedName>
    <definedName name="gammaq">'murs'!$G$158</definedName>
    <definedName name="h0">'murs'!$C$23</definedName>
    <definedName name="hs">'murs'!$C$25</definedName>
    <definedName name="ht">'murs'!$C$24</definedName>
    <definedName name="sigmab">'murs'!$F$154</definedName>
    <definedName name="sigmas">'murs'!$F$155</definedName>
    <definedName name="_xlnm.Print_Area" localSheetId="0">'murs'!$A$1:$L$190</definedName>
  </definedNames>
  <calcPr fullCalcOnLoad="1"/>
</workbook>
</file>

<file path=xl/sharedStrings.xml><?xml version="1.0" encoding="utf-8"?>
<sst xmlns="http://schemas.openxmlformats.org/spreadsheetml/2006/main" count="439" uniqueCount="192">
  <si>
    <t>géométrie:</t>
  </si>
  <si>
    <t>h0 =</t>
  </si>
  <si>
    <t>m</t>
  </si>
  <si>
    <t>remblai:</t>
  </si>
  <si>
    <t>d =</t>
  </si>
  <si>
    <r>
      <t>kN/m</t>
    </r>
    <r>
      <rPr>
        <vertAlign val="superscript"/>
        <sz val="10"/>
        <rFont val="Times New Roman"/>
        <family val="1"/>
      </rPr>
      <t>3</t>
    </r>
  </si>
  <si>
    <t>ht =</t>
  </si>
  <si>
    <r>
      <t xml:space="preserve">f  </t>
    </r>
    <r>
      <rPr>
        <sz val="10"/>
        <rFont val="Times New Roman"/>
        <family val="0"/>
      </rPr>
      <t>=</t>
    </r>
  </si>
  <si>
    <t>°</t>
  </si>
  <si>
    <t>hs =</t>
  </si>
  <si>
    <t>centre de gravité de la semelle:</t>
  </si>
  <si>
    <t>Xs=</t>
  </si>
  <si>
    <t>par rapport à la face avant de la semelle</t>
  </si>
  <si>
    <t>d' =</t>
  </si>
  <si>
    <t>centre de gravité de la section:</t>
  </si>
  <si>
    <r>
      <t>X</t>
    </r>
    <r>
      <rPr>
        <vertAlign val="subscript"/>
        <sz val="10"/>
        <rFont val="Times New Roman"/>
        <family val="1"/>
      </rPr>
      <t>G</t>
    </r>
    <r>
      <rPr>
        <sz val="10"/>
        <rFont val="Times New Roman"/>
        <family val="0"/>
      </rPr>
      <t xml:space="preserve"> =</t>
    </r>
  </si>
  <si>
    <t>e0 =</t>
  </si>
  <si>
    <t>béton:</t>
  </si>
  <si>
    <r>
      <t>fc</t>
    </r>
    <r>
      <rPr>
        <vertAlign val="subscript"/>
        <sz val="10"/>
        <rFont val="Times New Roman"/>
        <family val="1"/>
      </rPr>
      <t>28</t>
    </r>
    <r>
      <rPr>
        <sz val="10"/>
        <rFont val="Times New Roman"/>
        <family val="0"/>
      </rPr>
      <t xml:space="preserve"> =</t>
    </r>
  </si>
  <si>
    <t>MPa</t>
  </si>
  <si>
    <t>L =</t>
  </si>
  <si>
    <r>
      <t>calcul de q</t>
    </r>
    <r>
      <rPr>
        <b/>
        <u val="single"/>
        <vertAlign val="subscript"/>
        <sz val="10"/>
        <rFont val="Times New Roman"/>
        <family val="1"/>
      </rPr>
      <t>lim</t>
    </r>
  </si>
  <si>
    <r>
      <t>D</t>
    </r>
    <r>
      <rPr>
        <vertAlign val="subscript"/>
        <sz val="10"/>
        <rFont val="Times New Roman"/>
        <family val="1"/>
      </rPr>
      <t>e</t>
    </r>
    <r>
      <rPr>
        <sz val="10"/>
        <rFont val="Times New Roman"/>
        <family val="0"/>
      </rPr>
      <t xml:space="preserve"> =</t>
    </r>
  </si>
  <si>
    <t>aciers:</t>
  </si>
  <si>
    <t>fe =</t>
  </si>
  <si>
    <t>enrobage</t>
  </si>
  <si>
    <t>B =</t>
  </si>
  <si>
    <t>Sc =</t>
  </si>
  <si>
    <t>surcharge:</t>
  </si>
  <si>
    <t>s =</t>
  </si>
  <si>
    <r>
      <t>kN/m</t>
    </r>
    <r>
      <rPr>
        <b/>
        <vertAlign val="superscript"/>
        <sz val="10"/>
        <rFont val="Times New Roman"/>
        <family val="0"/>
      </rPr>
      <t>2</t>
    </r>
  </si>
  <si>
    <t>sol d'assise:</t>
  </si>
  <si>
    <t>D =</t>
  </si>
  <si>
    <r>
      <t>S</t>
    </r>
    <r>
      <rPr>
        <sz val="10"/>
        <rFont val="Symbol"/>
        <family val="1"/>
      </rPr>
      <t>g</t>
    </r>
    <r>
      <rPr>
        <sz val="10"/>
        <rFont val="Times New Roman"/>
        <family val="0"/>
      </rPr>
      <t xml:space="preserve"> =</t>
    </r>
  </si>
  <si>
    <t>c =</t>
  </si>
  <si>
    <t>kPa</t>
  </si>
  <si>
    <t>Sq =</t>
  </si>
  <si>
    <r>
      <t>g</t>
    </r>
    <r>
      <rPr>
        <sz val="10"/>
        <rFont val="Times New Roman"/>
        <family val="0"/>
      </rPr>
      <t xml:space="preserve"> =</t>
    </r>
  </si>
  <si>
    <t>x =</t>
  </si>
  <si>
    <t>Nc =</t>
  </si>
  <si>
    <t>q1 =</t>
  </si>
  <si>
    <t>kN/ml</t>
  </si>
  <si>
    <r>
      <t>N</t>
    </r>
    <r>
      <rPr>
        <sz val="10"/>
        <rFont val="Symbol"/>
        <family val="1"/>
      </rPr>
      <t>g</t>
    </r>
    <r>
      <rPr>
        <sz val="10"/>
        <rFont val="Times New Roman"/>
        <family val="0"/>
      </rPr>
      <t xml:space="preserve"> =</t>
    </r>
  </si>
  <si>
    <t>q2 =</t>
  </si>
  <si>
    <t>Nq =</t>
  </si>
  <si>
    <r>
      <t>q</t>
    </r>
    <r>
      <rPr>
        <vertAlign val="subscript"/>
        <sz val="10"/>
        <rFont val="Times New Roman"/>
        <family val="1"/>
      </rPr>
      <t>lim</t>
    </r>
    <r>
      <rPr>
        <sz val="10"/>
        <rFont val="Times New Roman"/>
        <family val="0"/>
      </rPr>
      <t xml:space="preserve"> =</t>
    </r>
  </si>
  <si>
    <t>. Actions élémentaires non pondérées</t>
  </si>
  <si>
    <t xml:space="preserve">f </t>
  </si>
  <si>
    <t>Nc</t>
  </si>
  <si>
    <r>
      <t>N</t>
    </r>
    <r>
      <rPr>
        <sz val="10"/>
        <rFont val="Symbol"/>
        <family val="1"/>
      </rPr>
      <t>g</t>
    </r>
  </si>
  <si>
    <t>Nq</t>
  </si>
  <si>
    <t>H</t>
  </si>
  <si>
    <t>V</t>
  </si>
  <si>
    <t>M (*)</t>
  </si>
  <si>
    <t>Ouvrage de soutènement:</t>
  </si>
  <si>
    <t xml:space="preserve">Poids propre du mur </t>
  </si>
  <si>
    <t>kN</t>
  </si>
  <si>
    <t>kN.m</t>
  </si>
  <si>
    <t>Poids propre des terrains morts avants</t>
  </si>
  <si>
    <t xml:space="preserve">Poids propre des terrains morts arrières </t>
  </si>
  <si>
    <t>(*) moment calculé par rapport au centre de gravité de la semelle</t>
  </si>
  <si>
    <t>Ecrans utilisés pour la stabilité externe:</t>
  </si>
  <si>
    <t xml:space="preserve">Charge d'exploitation sur terrains morts arrières </t>
  </si>
  <si>
    <t>Poussées dues au sol arrière</t>
  </si>
  <si>
    <t>Butée due au sol avant</t>
  </si>
  <si>
    <t xml:space="preserve">Poussées dues aux charges d'exploitation </t>
  </si>
  <si>
    <t>fardier</t>
  </si>
  <si>
    <t>y2 =</t>
  </si>
  <si>
    <t>y1 =</t>
  </si>
  <si>
    <t>niveau Qf1.int =</t>
  </si>
  <si>
    <t>charge:</t>
  </si>
  <si>
    <t>stabilité interne</t>
  </si>
  <si>
    <t>y'2 =</t>
  </si>
  <si>
    <t>y'1 =</t>
  </si>
  <si>
    <t>niveau Qf2.int =</t>
  </si>
  <si>
    <t>longueur:</t>
  </si>
  <si>
    <t>Ecrans utilisés pour la stabilité interne:</t>
  </si>
  <si>
    <t>qf2 =</t>
  </si>
  <si>
    <t>qf1 =</t>
  </si>
  <si>
    <t>entraxe:</t>
  </si>
  <si>
    <t xml:space="preserve">Poussées dues au sol </t>
  </si>
  <si>
    <t>q'f2.int =</t>
  </si>
  <si>
    <t>q'f1.int =</t>
  </si>
  <si>
    <t>diffusion des charges verticales:</t>
  </si>
  <si>
    <t>l =</t>
  </si>
  <si>
    <t>Q/l=</t>
  </si>
  <si>
    <t>. Combinaisons d'actions pour la stabilité externe</t>
  </si>
  <si>
    <t>stabilité externe</t>
  </si>
  <si>
    <t>M</t>
  </si>
  <si>
    <t>niveau Qf1.ext =</t>
  </si>
  <si>
    <t>Etat limite ultime:</t>
  </si>
  <si>
    <t>q'f2.ext =</t>
  </si>
  <si>
    <t>q'f1.ext =</t>
  </si>
  <si>
    <t>niveau Qf2.ext =</t>
  </si>
  <si>
    <t>(1)</t>
  </si>
  <si>
    <t>1,35Gmax+Gmin</t>
  </si>
  <si>
    <t>(2)</t>
  </si>
  <si>
    <t>(3)</t>
  </si>
  <si>
    <t>Etat limite de service:</t>
  </si>
  <si>
    <t>(4)</t>
  </si>
  <si>
    <t>(5)</t>
  </si>
  <si>
    <t>. Combinaisons d'actions pour la stabilité interne</t>
  </si>
  <si>
    <t>calculs en pied de voile</t>
  </si>
  <si>
    <t>(6)</t>
  </si>
  <si>
    <t>(7)</t>
  </si>
  <si>
    <t>(8)</t>
  </si>
  <si>
    <t>(9)</t>
  </si>
  <si>
    <t>. Conditions à vérifier pour la stabilité externe:</t>
  </si>
  <si>
    <t>glissement:</t>
  </si>
  <si>
    <t>sécurité:</t>
  </si>
  <si>
    <r>
      <t xml:space="preserve">V. tan </t>
    </r>
    <r>
      <rPr>
        <sz val="10"/>
        <rFont val="Symbol"/>
        <family val="1"/>
      </rPr>
      <t>f</t>
    </r>
    <r>
      <rPr>
        <sz val="10"/>
        <rFont val="Times New Roman"/>
        <family val="0"/>
      </rPr>
      <t xml:space="preserve">  </t>
    </r>
  </si>
  <si>
    <r>
      <t>g</t>
    </r>
    <r>
      <rPr>
        <vertAlign val="subscript"/>
        <sz val="10"/>
        <rFont val="Times New Roman"/>
        <family val="1"/>
      </rPr>
      <t>m</t>
    </r>
  </si>
  <si>
    <t>ELS</t>
  </si>
  <si>
    <t>renversement:</t>
  </si>
  <si>
    <t>surface du sol comprimée sous la fondation au moins égale à 10% à l'ELU</t>
  </si>
  <si>
    <t>surface du sol comprimée sous la fondation au moins égale à 75% à l'ELS</t>
  </si>
  <si>
    <t>largeur de semelle comprimée:</t>
  </si>
  <si>
    <t>m soit:</t>
  </si>
  <si>
    <t>combinaison</t>
  </si>
  <si>
    <r>
      <t>s</t>
    </r>
    <r>
      <rPr>
        <vertAlign val="subscript"/>
        <sz val="10"/>
        <rFont val="Times New Roman"/>
        <family val="1"/>
      </rPr>
      <t>sol max</t>
    </r>
  </si>
  <si>
    <r>
      <t>s</t>
    </r>
    <r>
      <rPr>
        <vertAlign val="subscript"/>
        <sz val="10"/>
        <rFont val="Times New Roman"/>
        <family val="1"/>
      </rPr>
      <t>sol min</t>
    </r>
  </si>
  <si>
    <t>poinçonnement:</t>
  </si>
  <si>
    <t>Le coefficient minorateur est issu du fascicule 62 pour les semelles de fondation sur sol frottant</t>
  </si>
  <si>
    <t>Réaction verticale</t>
  </si>
  <si>
    <t>V =</t>
  </si>
  <si>
    <t>Réaction horizontale</t>
  </si>
  <si>
    <t>H =</t>
  </si>
  <si>
    <t>Inclinaison de la réaction</t>
  </si>
  <si>
    <r>
      <t>d</t>
    </r>
    <r>
      <rPr>
        <sz val="10"/>
        <rFont val="Times New Roman"/>
        <family val="0"/>
      </rPr>
      <t xml:space="preserve"> =</t>
    </r>
  </si>
  <si>
    <t>Encastrement de la semelle</t>
  </si>
  <si>
    <r>
      <t>D</t>
    </r>
    <r>
      <rPr>
        <vertAlign val="subscript"/>
        <sz val="10"/>
        <rFont val="Arial"/>
        <family val="2"/>
      </rPr>
      <t>e</t>
    </r>
    <r>
      <rPr>
        <sz val="10"/>
        <rFont val="Times New Roman"/>
        <family val="0"/>
      </rPr>
      <t xml:space="preserve"> =</t>
    </r>
  </si>
  <si>
    <t>Largeur de la semelle</t>
  </si>
  <si>
    <t>Coefficient réducteur</t>
  </si>
  <si>
    <r>
      <t>i</t>
    </r>
    <r>
      <rPr>
        <vertAlign val="subscript"/>
        <sz val="10"/>
        <rFont val="Symbol"/>
        <family val="1"/>
      </rPr>
      <t>d</t>
    </r>
    <r>
      <rPr>
        <sz val="10"/>
        <rFont val="Times New Roman"/>
        <family val="0"/>
      </rPr>
      <t xml:space="preserve"> =</t>
    </r>
  </si>
  <si>
    <r>
      <t>s</t>
    </r>
    <r>
      <rPr>
        <vertAlign val="subscript"/>
        <sz val="10"/>
        <rFont val="Times New Roman"/>
        <family val="1"/>
      </rPr>
      <t xml:space="preserve">3/4 </t>
    </r>
    <r>
      <rPr>
        <sz val="10"/>
        <rFont val="Times New Roman"/>
        <family val="0"/>
      </rPr>
      <t>=</t>
    </r>
  </si>
  <si>
    <t>Taux de travail admissible du sol</t>
  </si>
  <si>
    <t>Taux du béton</t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</si>
  <si>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</t>
    </r>
  </si>
  <si>
    <t>Taux de travail des aciers</t>
  </si>
  <si>
    <r>
      <t>s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</si>
  <si>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Enrobage des aciers</t>
  </si>
  <si>
    <t>e =</t>
  </si>
  <si>
    <t>dans le voile</t>
  </si>
  <si>
    <t>(h= hauteur par rapport à la base du voile)</t>
  </si>
  <si>
    <t>h</t>
  </si>
  <si>
    <t>d</t>
  </si>
  <si>
    <t>A</t>
  </si>
  <si>
    <t>(m)</t>
  </si>
  <si>
    <t>(kNm)</t>
  </si>
  <si>
    <r>
      <t>(cm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)</t>
    </r>
  </si>
  <si>
    <t>kNm</t>
  </si>
  <si>
    <t>combinaison (4)</t>
  </si>
  <si>
    <t>combinaison (5)</t>
  </si>
  <si>
    <t>patin avant</t>
  </si>
  <si>
    <t>aciers inférieurs</t>
  </si>
  <si>
    <r>
      <t>kN/m</t>
    </r>
    <r>
      <rPr>
        <vertAlign val="superscript"/>
        <sz val="10"/>
        <rFont val="Times New Roman"/>
        <family val="1"/>
      </rPr>
      <t>2</t>
    </r>
  </si>
  <si>
    <t>A=</t>
  </si>
  <si>
    <r>
      <t>cm</t>
    </r>
    <r>
      <rPr>
        <vertAlign val="superscript"/>
        <sz val="10"/>
        <rFont val="Times New Roman"/>
        <family val="1"/>
      </rPr>
      <t>2</t>
    </r>
  </si>
  <si>
    <t>patin arrière</t>
  </si>
  <si>
    <t>aciers supérieurs</t>
  </si>
  <si>
    <t>linéaires</t>
  </si>
  <si>
    <t>ponctuelles</t>
  </si>
  <si>
    <r>
      <t>K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0"/>
      </rPr>
      <t xml:space="preserve"> =</t>
    </r>
  </si>
  <si>
    <t>et =</t>
  </si>
  <si>
    <t>état</t>
  </si>
  <si>
    <t>ELU</t>
  </si>
  <si>
    <t>ELU:</t>
  </si>
  <si>
    <t>ELS:</t>
  </si>
  <si>
    <t>Poussée due à la charge ponctuelle Q1</t>
  </si>
  <si>
    <t>Poussée due à la charge ponctuelle Q2</t>
  </si>
  <si>
    <t>fondamentale:   1,35Gmax+Gmin+1,5S</t>
  </si>
  <si>
    <t>construction:   1,35Gmax+Gmin+1,50Q</t>
  </si>
  <si>
    <t>rare:   Gmax+Gmin+S</t>
  </si>
  <si>
    <t>construction:   Gmax+Gmin+Q</t>
  </si>
  <si>
    <t>caractéristiques du sol:</t>
  </si>
  <si>
    <t>. ferraillage:</t>
  </si>
  <si>
    <t>coefficients de pondération</t>
  </si>
  <si>
    <t>charges permanentes:</t>
  </si>
  <si>
    <t>charges d'exploitation:</t>
  </si>
  <si>
    <r>
      <t>g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</t>
    </r>
  </si>
  <si>
    <r>
      <t>g</t>
    </r>
    <r>
      <rPr>
        <vertAlign val="subscript"/>
        <sz val="10"/>
        <rFont val="Arial"/>
        <family val="2"/>
      </rPr>
      <t xml:space="preserve">q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</si>
  <si>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Times New Roman"/>
        <family val="1"/>
      </rPr>
      <t>pondéré</t>
    </r>
    <r>
      <rPr>
        <sz val="10"/>
        <rFont val="Times New Roman"/>
        <family val="0"/>
      </rPr>
      <t xml:space="preserve"> =</t>
    </r>
  </si>
  <si>
    <t>contraintes sur le sol</t>
  </si>
  <si>
    <r>
      <t>s</t>
    </r>
    <r>
      <rPr>
        <vertAlign val="subscript"/>
        <sz val="10"/>
        <rFont val="Times New Roman"/>
        <family val="1"/>
      </rPr>
      <t>1,ELS</t>
    </r>
    <r>
      <rPr>
        <sz val="10"/>
        <rFont val="Times New Roman"/>
        <family val="0"/>
      </rPr>
      <t>=</t>
    </r>
  </si>
  <si>
    <r>
      <t>s</t>
    </r>
    <r>
      <rPr>
        <vertAlign val="subscript"/>
        <sz val="10"/>
        <rFont val="Times New Roman"/>
        <family val="1"/>
      </rPr>
      <t>2,ELS</t>
    </r>
    <r>
      <rPr>
        <sz val="10"/>
        <rFont val="Times New Roman"/>
        <family val="0"/>
      </rPr>
      <t>=</t>
    </r>
  </si>
  <si>
    <r>
      <t>s</t>
    </r>
    <r>
      <rPr>
        <vertAlign val="subscript"/>
        <sz val="10"/>
        <rFont val="Times New Roman"/>
        <family val="1"/>
      </rPr>
      <t>3,ELS</t>
    </r>
    <r>
      <rPr>
        <sz val="10"/>
        <rFont val="Times New Roman"/>
        <family val="0"/>
      </rPr>
      <t>=</t>
    </r>
  </si>
  <si>
    <r>
      <t>s</t>
    </r>
    <r>
      <rPr>
        <vertAlign val="subscript"/>
        <sz val="10"/>
        <rFont val="Times New Roman"/>
        <family val="1"/>
      </rPr>
      <t>4,ELS</t>
    </r>
    <r>
      <rPr>
        <sz val="10"/>
        <rFont val="Times New Roman"/>
        <family val="0"/>
      </rPr>
      <t>=</t>
    </r>
  </si>
  <si>
    <r>
      <t>p</t>
    </r>
    <r>
      <rPr>
        <vertAlign val="subscript"/>
        <sz val="10"/>
        <rFont val="Times New Roman"/>
        <family val="1"/>
      </rPr>
      <t>1,ELS</t>
    </r>
    <r>
      <rPr>
        <sz val="10"/>
        <rFont val="Times New Roman"/>
        <family val="0"/>
      </rPr>
      <t>=</t>
    </r>
  </si>
  <si>
    <r>
      <t>p</t>
    </r>
    <r>
      <rPr>
        <vertAlign val="subscript"/>
        <sz val="10"/>
        <rFont val="Times New Roman"/>
        <family val="1"/>
      </rPr>
      <t>2,ELS</t>
    </r>
    <r>
      <rPr>
        <sz val="10"/>
        <rFont val="Times New Roman"/>
        <family val="0"/>
      </rPr>
      <t>=</t>
    </r>
  </si>
  <si>
    <t>ATTENTION PROBLEME AVEC LE CAS DE CHARGE PONCTUEL</t>
  </si>
  <si>
    <t>m à l'axe des aciers</t>
  </si>
  <si>
    <t>cm à l'axe des aciers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</si>
</sst>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"/>
  </numFmts>
  <fonts count="2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Symbol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6"/>
      <name val="Symbol"/>
      <family val="1"/>
    </font>
    <font>
      <sz val="6"/>
      <name val="Arial"/>
      <family val="2"/>
    </font>
    <font>
      <b/>
      <sz val="10"/>
      <name val="Arial"/>
      <family val="0"/>
    </font>
    <font>
      <i/>
      <u val="single"/>
      <sz val="10"/>
      <name val="Arial"/>
      <family val="0"/>
    </font>
    <font>
      <sz val="8"/>
      <name val="Arial"/>
      <family val="2"/>
    </font>
    <font>
      <b/>
      <u val="single"/>
      <vertAlign val="subscript"/>
      <sz val="10"/>
      <name val="Times New Roman"/>
      <family val="1"/>
    </font>
    <font>
      <b/>
      <vertAlign val="superscript"/>
      <sz val="10"/>
      <name val="Times New Roman"/>
      <family val="0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172" fontId="0" fillId="0" borderId="7" xfId="0" applyNumberFormat="1" applyBorder="1" applyAlignment="1">
      <alignment/>
    </xf>
    <xf numFmtId="0" fontId="0" fillId="0" borderId="1" xfId="0" applyBorder="1" applyAlignment="1">
      <alignment horizontal="right"/>
    </xf>
    <xf numFmtId="172" fontId="0" fillId="0" borderId="0" xfId="0" applyNumberForma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10" xfId="0" applyNumberForma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73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4" fillId="0" borderId="6" xfId="0" applyFont="1" applyBorder="1" applyAlignment="1">
      <alignment horizontal="right"/>
    </xf>
    <xf numFmtId="1" fontId="0" fillId="0" borderId="7" xfId="0" applyNumberFormat="1" applyBorder="1" applyAlignment="1">
      <alignment/>
    </xf>
    <xf numFmtId="0" fontId="4" fillId="0" borderId="11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16" xfId="0" applyBorder="1" applyAlignment="1" quotePrefix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4" xfId="0" applyBorder="1" applyAlignment="1" quotePrefix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10" xfId="0" applyBorder="1" applyAlignment="1" quotePrefix="1">
      <alignment horizontal="centerContinuous"/>
    </xf>
    <xf numFmtId="0" fontId="0" fillId="0" borderId="9" xfId="0" applyBorder="1" applyAlignment="1" quotePrefix="1">
      <alignment horizontal="centerContinuous"/>
    </xf>
    <xf numFmtId="172" fontId="0" fillId="0" borderId="6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 horizontal="right"/>
    </xf>
    <xf numFmtId="17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32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17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 quotePrefix="1">
      <alignment horizontal="left"/>
    </xf>
    <xf numFmtId="172" fontId="0" fillId="0" borderId="0" xfId="0" applyNumberFormat="1" applyFill="1" applyAlignment="1">
      <alignment/>
    </xf>
    <xf numFmtId="0" fontId="0" fillId="0" borderId="11" xfId="0" applyBorder="1" applyAlignment="1" quotePrefix="1">
      <alignment horizontal="right"/>
    </xf>
    <xf numFmtId="0" fontId="0" fillId="0" borderId="6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0" fontId="0" fillId="0" borderId="43" xfId="0" applyBorder="1" applyAlignment="1">
      <alignment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4" fillId="0" borderId="47" xfId="0" applyFon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/>
    </xf>
    <xf numFmtId="0" fontId="22" fillId="0" borderId="0" xfId="0" applyFont="1" applyAlignment="1">
      <alignment horizontal="right"/>
    </xf>
    <xf numFmtId="2" fontId="0" fillId="2" borderId="0" xfId="0" applyNumberFormat="1" applyFill="1" applyAlignment="1" applyProtection="1">
      <alignment/>
      <protection locked="0"/>
    </xf>
    <xf numFmtId="2" fontId="0" fillId="2" borderId="0" xfId="0" applyNumberFormat="1" applyFont="1" applyFill="1" applyAlignment="1" applyProtection="1">
      <alignment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2" fontId="23" fillId="0" borderId="4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23" fillId="0" borderId="50" xfId="0" applyNumberFormat="1" applyFont="1" applyBorder="1" applyAlignment="1">
      <alignment horizontal="center"/>
    </xf>
    <xf numFmtId="2" fontId="23" fillId="0" borderId="49" xfId="0" applyNumberFormat="1" applyFont="1" applyBorder="1" applyAlignment="1">
      <alignment horizontal="center"/>
    </xf>
    <xf numFmtId="2" fontId="25" fillId="2" borderId="0" xfId="0" applyNumberFormat="1" applyFont="1" applyFill="1" applyBorder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/>
    </xf>
    <xf numFmtId="0" fontId="25" fillId="2" borderId="44" xfId="0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9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176</xdr:row>
      <xdr:rowOff>123825</xdr:rowOff>
    </xdr:from>
    <xdr:to>
      <xdr:col>7</xdr:col>
      <xdr:colOff>123825</xdr:colOff>
      <xdr:row>176</xdr:row>
      <xdr:rowOff>123825</xdr:rowOff>
    </xdr:to>
    <xdr:sp>
      <xdr:nvSpPr>
        <xdr:cNvPr id="1" name="Line 51"/>
        <xdr:cNvSpPr>
          <a:spLocks/>
        </xdr:cNvSpPr>
      </xdr:nvSpPr>
      <xdr:spPr>
        <a:xfrm>
          <a:off x="3619500" y="30213300"/>
          <a:ext cx="5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175</xdr:row>
      <xdr:rowOff>9525</xdr:rowOff>
    </xdr:from>
    <xdr:to>
      <xdr:col>7</xdr:col>
      <xdr:colOff>123825</xdr:colOff>
      <xdr:row>175</xdr:row>
      <xdr:rowOff>9525</xdr:rowOff>
    </xdr:to>
    <xdr:sp>
      <xdr:nvSpPr>
        <xdr:cNvPr id="2" name="Line 52"/>
        <xdr:cNvSpPr>
          <a:spLocks/>
        </xdr:cNvSpPr>
      </xdr:nvSpPr>
      <xdr:spPr>
        <a:xfrm>
          <a:off x="3619500" y="299275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175</xdr:row>
      <xdr:rowOff>85725</xdr:rowOff>
    </xdr:from>
    <xdr:to>
      <xdr:col>7</xdr:col>
      <xdr:colOff>123825</xdr:colOff>
      <xdr:row>175</xdr:row>
      <xdr:rowOff>85725</xdr:rowOff>
    </xdr:to>
    <xdr:sp>
      <xdr:nvSpPr>
        <xdr:cNvPr id="3" name="Line 53"/>
        <xdr:cNvSpPr>
          <a:spLocks/>
        </xdr:cNvSpPr>
      </xdr:nvSpPr>
      <xdr:spPr>
        <a:xfrm>
          <a:off x="3619500" y="300037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177</xdr:row>
      <xdr:rowOff>123825</xdr:rowOff>
    </xdr:from>
    <xdr:to>
      <xdr:col>7</xdr:col>
      <xdr:colOff>123825</xdr:colOff>
      <xdr:row>177</xdr:row>
      <xdr:rowOff>123825</xdr:rowOff>
    </xdr:to>
    <xdr:sp>
      <xdr:nvSpPr>
        <xdr:cNvPr id="4" name="Line 54"/>
        <xdr:cNvSpPr>
          <a:spLocks/>
        </xdr:cNvSpPr>
      </xdr:nvSpPr>
      <xdr:spPr>
        <a:xfrm>
          <a:off x="3619500" y="3042285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175</xdr:row>
      <xdr:rowOff>9525</xdr:rowOff>
    </xdr:from>
    <xdr:to>
      <xdr:col>5</xdr:col>
      <xdr:colOff>409575</xdr:colOff>
      <xdr:row>175</xdr:row>
      <xdr:rowOff>95250</xdr:rowOff>
    </xdr:to>
    <xdr:sp>
      <xdr:nvSpPr>
        <xdr:cNvPr id="5" name="Line 55"/>
        <xdr:cNvSpPr>
          <a:spLocks/>
        </xdr:cNvSpPr>
      </xdr:nvSpPr>
      <xdr:spPr>
        <a:xfrm>
          <a:off x="3619500" y="29927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123825</xdr:colOff>
      <xdr:row>175</xdr:row>
      <xdr:rowOff>9525</xdr:rowOff>
    </xdr:from>
    <xdr:to>
      <xdr:col>7</xdr:col>
      <xdr:colOff>123825</xdr:colOff>
      <xdr:row>175</xdr:row>
      <xdr:rowOff>95250</xdr:rowOff>
    </xdr:to>
    <xdr:sp>
      <xdr:nvSpPr>
        <xdr:cNvPr id="6" name="Line 56"/>
        <xdr:cNvSpPr>
          <a:spLocks/>
        </xdr:cNvSpPr>
      </xdr:nvSpPr>
      <xdr:spPr>
        <a:xfrm>
          <a:off x="4152900" y="29927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177</xdr:row>
      <xdr:rowOff>123825</xdr:rowOff>
    </xdr:from>
    <xdr:to>
      <xdr:col>5</xdr:col>
      <xdr:colOff>409575</xdr:colOff>
      <xdr:row>180</xdr:row>
      <xdr:rowOff>123825</xdr:rowOff>
    </xdr:to>
    <xdr:sp>
      <xdr:nvSpPr>
        <xdr:cNvPr id="7" name="Line 57"/>
        <xdr:cNvSpPr>
          <a:spLocks/>
        </xdr:cNvSpPr>
      </xdr:nvSpPr>
      <xdr:spPr>
        <a:xfrm>
          <a:off x="3619500" y="3042285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123825</xdr:colOff>
      <xdr:row>177</xdr:row>
      <xdr:rowOff>123825</xdr:rowOff>
    </xdr:from>
    <xdr:to>
      <xdr:col>7</xdr:col>
      <xdr:colOff>123825</xdr:colOff>
      <xdr:row>179</xdr:row>
      <xdr:rowOff>85725</xdr:rowOff>
    </xdr:to>
    <xdr:sp>
      <xdr:nvSpPr>
        <xdr:cNvPr id="8" name="Line 58"/>
        <xdr:cNvSpPr>
          <a:spLocks/>
        </xdr:cNvSpPr>
      </xdr:nvSpPr>
      <xdr:spPr>
        <a:xfrm>
          <a:off x="4152900" y="30422850"/>
          <a:ext cx="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179</xdr:row>
      <xdr:rowOff>85725</xdr:rowOff>
    </xdr:from>
    <xdr:to>
      <xdr:col>7</xdr:col>
      <xdr:colOff>123825</xdr:colOff>
      <xdr:row>180</xdr:row>
      <xdr:rowOff>123825</xdr:rowOff>
    </xdr:to>
    <xdr:sp>
      <xdr:nvSpPr>
        <xdr:cNvPr id="9" name="Line 59"/>
        <xdr:cNvSpPr>
          <a:spLocks/>
        </xdr:cNvSpPr>
      </xdr:nvSpPr>
      <xdr:spPr>
        <a:xfrm flipV="1">
          <a:off x="3619500" y="30803850"/>
          <a:ext cx="533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123825</xdr:colOff>
      <xdr:row>176</xdr:row>
      <xdr:rowOff>28575</xdr:rowOff>
    </xdr:from>
    <xdr:to>
      <xdr:col>7</xdr:col>
      <xdr:colOff>123825</xdr:colOff>
      <xdr:row>177</xdr:row>
      <xdr:rowOff>28575</xdr:rowOff>
    </xdr:to>
    <xdr:sp>
      <xdr:nvSpPr>
        <xdr:cNvPr id="10" name="Line 60"/>
        <xdr:cNvSpPr>
          <a:spLocks/>
        </xdr:cNvSpPr>
      </xdr:nvSpPr>
      <xdr:spPr>
        <a:xfrm>
          <a:off x="4152900" y="301180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123825</xdr:colOff>
      <xdr:row>176</xdr:row>
      <xdr:rowOff>28575</xdr:rowOff>
    </xdr:from>
    <xdr:to>
      <xdr:col>7</xdr:col>
      <xdr:colOff>180975</xdr:colOff>
      <xdr:row>177</xdr:row>
      <xdr:rowOff>28575</xdr:rowOff>
    </xdr:to>
    <xdr:sp>
      <xdr:nvSpPr>
        <xdr:cNvPr id="11" name="Rectangle 61"/>
        <xdr:cNvSpPr>
          <a:spLocks/>
        </xdr:cNvSpPr>
      </xdr:nvSpPr>
      <xdr:spPr>
        <a:xfrm>
          <a:off x="4152900" y="30118050"/>
          <a:ext cx="57150" cy="20955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219075</xdr:colOff>
      <xdr:row>179</xdr:row>
      <xdr:rowOff>9525</xdr:rowOff>
    </xdr:from>
    <xdr:to>
      <xdr:col>5</xdr:col>
      <xdr:colOff>390525</xdr:colOff>
      <xdr:row>180</xdr:row>
      <xdr:rowOff>38100</xdr:rowOff>
    </xdr:to>
    <xdr:sp>
      <xdr:nvSpPr>
        <xdr:cNvPr id="12" name="Texte 62"/>
        <xdr:cNvSpPr txBox="1">
          <a:spLocks noChangeArrowheads="1"/>
        </xdr:cNvSpPr>
      </xdr:nvSpPr>
      <xdr:spPr>
        <a:xfrm>
          <a:off x="3429000" y="30727650"/>
          <a:ext cx="1714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600" b="0" i="0" u="none" baseline="0">
              <a:latin typeface="Symbol"/>
              <a:ea typeface="Symbol"/>
              <a:cs typeface="Symbol"/>
            </a:rPr>
            <a:t>1</a:t>
          </a:r>
        </a:p>
      </xdr:txBody>
    </xdr:sp>
    <xdr:clientData/>
  </xdr:twoCellAnchor>
  <xdr:twoCellAnchor>
    <xdr:from>
      <xdr:col>6</xdr:col>
      <xdr:colOff>19050</xdr:colOff>
      <xdr:row>186</xdr:row>
      <xdr:rowOff>76200</xdr:rowOff>
    </xdr:from>
    <xdr:to>
      <xdr:col>7</xdr:col>
      <xdr:colOff>142875</xdr:colOff>
      <xdr:row>186</xdr:row>
      <xdr:rowOff>76200</xdr:rowOff>
    </xdr:to>
    <xdr:sp>
      <xdr:nvSpPr>
        <xdr:cNvPr id="13" name="Line 63"/>
        <xdr:cNvSpPr>
          <a:spLocks/>
        </xdr:cNvSpPr>
      </xdr:nvSpPr>
      <xdr:spPr>
        <a:xfrm>
          <a:off x="3638550" y="32108775"/>
          <a:ext cx="5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184</xdr:row>
      <xdr:rowOff>142875</xdr:rowOff>
    </xdr:from>
    <xdr:to>
      <xdr:col>7</xdr:col>
      <xdr:colOff>133350</xdr:colOff>
      <xdr:row>184</xdr:row>
      <xdr:rowOff>142875</xdr:rowOff>
    </xdr:to>
    <xdr:sp>
      <xdr:nvSpPr>
        <xdr:cNvPr id="14" name="Line 64"/>
        <xdr:cNvSpPr>
          <a:spLocks/>
        </xdr:cNvSpPr>
      </xdr:nvSpPr>
      <xdr:spPr>
        <a:xfrm>
          <a:off x="3619500" y="3175635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185</xdr:row>
      <xdr:rowOff>28575</xdr:rowOff>
    </xdr:from>
    <xdr:to>
      <xdr:col>7</xdr:col>
      <xdr:colOff>133350</xdr:colOff>
      <xdr:row>185</xdr:row>
      <xdr:rowOff>28575</xdr:rowOff>
    </xdr:to>
    <xdr:sp>
      <xdr:nvSpPr>
        <xdr:cNvPr id="15" name="Line 65"/>
        <xdr:cNvSpPr>
          <a:spLocks/>
        </xdr:cNvSpPr>
      </xdr:nvSpPr>
      <xdr:spPr>
        <a:xfrm>
          <a:off x="3619500" y="3185160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187</xdr:row>
      <xdr:rowOff>76200</xdr:rowOff>
    </xdr:from>
    <xdr:to>
      <xdr:col>7</xdr:col>
      <xdr:colOff>133350</xdr:colOff>
      <xdr:row>187</xdr:row>
      <xdr:rowOff>76200</xdr:rowOff>
    </xdr:to>
    <xdr:sp>
      <xdr:nvSpPr>
        <xdr:cNvPr id="16" name="Line 66"/>
        <xdr:cNvSpPr>
          <a:spLocks/>
        </xdr:cNvSpPr>
      </xdr:nvSpPr>
      <xdr:spPr>
        <a:xfrm>
          <a:off x="3619500" y="3231832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184</xdr:row>
      <xdr:rowOff>142875</xdr:rowOff>
    </xdr:from>
    <xdr:to>
      <xdr:col>5</xdr:col>
      <xdr:colOff>409575</xdr:colOff>
      <xdr:row>185</xdr:row>
      <xdr:rowOff>28575</xdr:rowOff>
    </xdr:to>
    <xdr:sp>
      <xdr:nvSpPr>
        <xdr:cNvPr id="17" name="Line 67"/>
        <xdr:cNvSpPr>
          <a:spLocks/>
        </xdr:cNvSpPr>
      </xdr:nvSpPr>
      <xdr:spPr>
        <a:xfrm>
          <a:off x="3619500" y="31756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133350</xdr:colOff>
      <xdr:row>184</xdr:row>
      <xdr:rowOff>142875</xdr:rowOff>
    </xdr:from>
    <xdr:to>
      <xdr:col>7</xdr:col>
      <xdr:colOff>133350</xdr:colOff>
      <xdr:row>185</xdr:row>
      <xdr:rowOff>28575</xdr:rowOff>
    </xdr:to>
    <xdr:sp>
      <xdr:nvSpPr>
        <xdr:cNvPr id="18" name="Line 68"/>
        <xdr:cNvSpPr>
          <a:spLocks/>
        </xdr:cNvSpPr>
      </xdr:nvSpPr>
      <xdr:spPr>
        <a:xfrm>
          <a:off x="4162425" y="31756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187</xdr:row>
      <xdr:rowOff>76200</xdr:rowOff>
    </xdr:from>
    <xdr:to>
      <xdr:col>5</xdr:col>
      <xdr:colOff>409575</xdr:colOff>
      <xdr:row>189</xdr:row>
      <xdr:rowOff>9525</xdr:rowOff>
    </xdr:to>
    <xdr:sp>
      <xdr:nvSpPr>
        <xdr:cNvPr id="19" name="Line 69"/>
        <xdr:cNvSpPr>
          <a:spLocks/>
        </xdr:cNvSpPr>
      </xdr:nvSpPr>
      <xdr:spPr>
        <a:xfrm>
          <a:off x="3619500" y="323183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133350</xdr:colOff>
      <xdr:row>187</xdr:row>
      <xdr:rowOff>76200</xdr:rowOff>
    </xdr:from>
    <xdr:to>
      <xdr:col>7</xdr:col>
      <xdr:colOff>133350</xdr:colOff>
      <xdr:row>188</xdr:row>
      <xdr:rowOff>66675</xdr:rowOff>
    </xdr:to>
    <xdr:sp>
      <xdr:nvSpPr>
        <xdr:cNvPr id="20" name="Line 70"/>
        <xdr:cNvSpPr>
          <a:spLocks/>
        </xdr:cNvSpPr>
      </xdr:nvSpPr>
      <xdr:spPr>
        <a:xfrm>
          <a:off x="4162425" y="3231832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188</xdr:row>
      <xdr:rowOff>66675</xdr:rowOff>
    </xdr:from>
    <xdr:to>
      <xdr:col>7</xdr:col>
      <xdr:colOff>133350</xdr:colOff>
      <xdr:row>189</xdr:row>
      <xdr:rowOff>9525</xdr:rowOff>
    </xdr:to>
    <xdr:sp>
      <xdr:nvSpPr>
        <xdr:cNvPr id="21" name="Line 71"/>
        <xdr:cNvSpPr>
          <a:spLocks/>
        </xdr:cNvSpPr>
      </xdr:nvSpPr>
      <xdr:spPr>
        <a:xfrm flipV="1">
          <a:off x="3619500" y="32489775"/>
          <a:ext cx="5429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185</xdr:row>
      <xdr:rowOff>171450</xdr:rowOff>
    </xdr:from>
    <xdr:to>
      <xdr:col>5</xdr:col>
      <xdr:colOff>400050</xdr:colOff>
      <xdr:row>187</xdr:row>
      <xdr:rowOff>9525</xdr:rowOff>
    </xdr:to>
    <xdr:sp>
      <xdr:nvSpPr>
        <xdr:cNvPr id="22" name="Rectangle 72"/>
        <xdr:cNvSpPr>
          <a:spLocks/>
        </xdr:cNvSpPr>
      </xdr:nvSpPr>
      <xdr:spPr>
        <a:xfrm>
          <a:off x="3562350" y="31994475"/>
          <a:ext cx="47625" cy="25717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219075</xdr:colOff>
      <xdr:row>187</xdr:row>
      <xdr:rowOff>123825</xdr:rowOff>
    </xdr:from>
    <xdr:to>
      <xdr:col>5</xdr:col>
      <xdr:colOff>400050</xdr:colOff>
      <xdr:row>188</xdr:row>
      <xdr:rowOff>200025</xdr:rowOff>
    </xdr:to>
    <xdr:sp>
      <xdr:nvSpPr>
        <xdr:cNvPr id="23" name="Texte 73"/>
        <xdr:cNvSpPr txBox="1">
          <a:spLocks noChangeArrowheads="1"/>
        </xdr:cNvSpPr>
      </xdr:nvSpPr>
      <xdr:spPr>
        <a:xfrm>
          <a:off x="3429000" y="3236595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600" b="0" i="0" u="none" baseline="0">
              <a:latin typeface="Symbol"/>
              <a:ea typeface="Symbol"/>
              <a:cs typeface="Symbol"/>
            </a:rPr>
            <a:t>3</a:t>
          </a:r>
        </a:p>
      </xdr:txBody>
    </xdr:sp>
    <xdr:clientData/>
  </xdr:twoCellAnchor>
  <xdr:twoCellAnchor>
    <xdr:from>
      <xdr:col>7</xdr:col>
      <xdr:colOff>180975</xdr:colOff>
      <xdr:row>178</xdr:row>
      <xdr:rowOff>28575</xdr:rowOff>
    </xdr:from>
    <xdr:to>
      <xdr:col>7</xdr:col>
      <xdr:colOff>361950</xdr:colOff>
      <xdr:row>179</xdr:row>
      <xdr:rowOff>76200</xdr:rowOff>
    </xdr:to>
    <xdr:sp>
      <xdr:nvSpPr>
        <xdr:cNvPr id="24" name="Texte 74"/>
        <xdr:cNvSpPr txBox="1">
          <a:spLocks noChangeArrowheads="1"/>
        </xdr:cNvSpPr>
      </xdr:nvSpPr>
      <xdr:spPr>
        <a:xfrm>
          <a:off x="4210050" y="30537150"/>
          <a:ext cx="1809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600" b="0" i="0" u="none" baseline="0">
              <a:latin typeface="Symbol"/>
              <a:ea typeface="Symbol"/>
              <a:cs typeface="Symbol"/>
            </a:rPr>
            <a:t>2</a:t>
          </a:r>
        </a:p>
      </xdr:txBody>
    </xdr:sp>
    <xdr:clientData/>
  </xdr:twoCellAnchor>
  <xdr:twoCellAnchor>
    <xdr:from>
      <xdr:col>7</xdr:col>
      <xdr:colOff>190500</xdr:colOff>
      <xdr:row>187</xdr:row>
      <xdr:rowOff>47625</xdr:rowOff>
    </xdr:from>
    <xdr:to>
      <xdr:col>7</xdr:col>
      <xdr:colOff>381000</xdr:colOff>
      <xdr:row>188</xdr:row>
      <xdr:rowOff>66675</xdr:rowOff>
    </xdr:to>
    <xdr:sp>
      <xdr:nvSpPr>
        <xdr:cNvPr id="25" name="Texte 75"/>
        <xdr:cNvSpPr txBox="1">
          <a:spLocks noChangeArrowheads="1"/>
        </xdr:cNvSpPr>
      </xdr:nvSpPr>
      <xdr:spPr>
        <a:xfrm>
          <a:off x="4219575" y="32289750"/>
          <a:ext cx="190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600" b="0" i="0" u="none" baseline="0">
              <a:latin typeface="Symbol"/>
              <a:ea typeface="Symbol"/>
              <a:cs typeface="Symbol"/>
            </a:rPr>
            <a:t>4</a:t>
          </a:r>
        </a:p>
      </xdr:txBody>
    </xdr:sp>
    <xdr:clientData/>
  </xdr:twoCellAnchor>
  <xdr:twoCellAnchor>
    <xdr:from>
      <xdr:col>6</xdr:col>
      <xdr:colOff>161925</xdr:colOff>
      <xdr:row>173</xdr:row>
      <xdr:rowOff>123825</xdr:rowOff>
    </xdr:from>
    <xdr:to>
      <xdr:col>6</xdr:col>
      <xdr:colOff>381000</xdr:colOff>
      <xdr:row>174</xdr:row>
      <xdr:rowOff>152400</xdr:rowOff>
    </xdr:to>
    <xdr:sp>
      <xdr:nvSpPr>
        <xdr:cNvPr id="26" name="Texte 76"/>
        <xdr:cNvSpPr txBox="1">
          <a:spLocks noChangeArrowheads="1"/>
        </xdr:cNvSpPr>
      </xdr:nvSpPr>
      <xdr:spPr>
        <a:xfrm>
          <a:off x="3781425" y="29708475"/>
          <a:ext cx="2190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142875</xdr:colOff>
      <xdr:row>183</xdr:row>
      <xdr:rowOff>104775</xdr:rowOff>
    </xdr:from>
    <xdr:to>
      <xdr:col>6</xdr:col>
      <xdr:colOff>342900</xdr:colOff>
      <xdr:row>184</xdr:row>
      <xdr:rowOff>123825</xdr:rowOff>
    </xdr:to>
    <xdr:sp>
      <xdr:nvSpPr>
        <xdr:cNvPr id="27" name="Texte 77"/>
        <xdr:cNvSpPr txBox="1">
          <a:spLocks noChangeArrowheads="1"/>
        </xdr:cNvSpPr>
      </xdr:nvSpPr>
      <xdr:spPr>
        <a:xfrm>
          <a:off x="3762375" y="31546800"/>
          <a:ext cx="2000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666750</xdr:colOff>
      <xdr:row>6</xdr:row>
      <xdr:rowOff>114300</xdr:rowOff>
    </xdr:from>
    <xdr:to>
      <xdr:col>4</xdr:col>
      <xdr:colOff>285750</xdr:colOff>
      <xdr:row>6</xdr:row>
      <xdr:rowOff>114300</xdr:rowOff>
    </xdr:to>
    <xdr:sp>
      <xdr:nvSpPr>
        <xdr:cNvPr id="28" name="Line 7"/>
        <xdr:cNvSpPr>
          <a:spLocks/>
        </xdr:cNvSpPr>
      </xdr:nvSpPr>
      <xdr:spPr>
        <a:xfrm>
          <a:off x="1943100" y="10858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628650</xdr:colOff>
      <xdr:row>6</xdr:row>
      <xdr:rowOff>28575</xdr:rowOff>
    </xdr:from>
    <xdr:to>
      <xdr:col>0</xdr:col>
      <xdr:colOff>628650</xdr:colOff>
      <xdr:row>16</xdr:row>
      <xdr:rowOff>85725</xdr:rowOff>
    </xdr:to>
    <xdr:sp>
      <xdr:nvSpPr>
        <xdr:cNvPr id="29" name="Line 8"/>
        <xdr:cNvSpPr>
          <a:spLocks/>
        </xdr:cNvSpPr>
      </xdr:nvSpPr>
      <xdr:spPr>
        <a:xfrm flipV="1">
          <a:off x="628650" y="100012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28575</xdr:rowOff>
    </xdr:from>
    <xdr:to>
      <xdr:col>1</xdr:col>
      <xdr:colOff>552450</xdr:colOff>
      <xdr:row>6</xdr:row>
      <xdr:rowOff>28575</xdr:rowOff>
    </xdr:to>
    <xdr:sp>
      <xdr:nvSpPr>
        <xdr:cNvPr id="30" name="Line 9"/>
        <xdr:cNvSpPr>
          <a:spLocks/>
        </xdr:cNvSpPr>
      </xdr:nvSpPr>
      <xdr:spPr>
        <a:xfrm>
          <a:off x="723900" y="10001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16</xdr:row>
      <xdr:rowOff>114300</xdr:rowOff>
    </xdr:from>
    <xdr:to>
      <xdr:col>1</xdr:col>
      <xdr:colOff>457200</xdr:colOff>
      <xdr:row>16</xdr:row>
      <xdr:rowOff>114300</xdr:rowOff>
    </xdr:to>
    <xdr:sp>
      <xdr:nvSpPr>
        <xdr:cNvPr id="31" name="Line 10"/>
        <xdr:cNvSpPr>
          <a:spLocks/>
        </xdr:cNvSpPr>
      </xdr:nvSpPr>
      <xdr:spPr>
        <a:xfrm>
          <a:off x="723900" y="27051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152400</xdr:colOff>
      <xdr:row>6</xdr:row>
      <xdr:rowOff>114300</xdr:rowOff>
    </xdr:from>
    <xdr:to>
      <xdr:col>6</xdr:col>
      <xdr:colOff>304800</xdr:colOff>
      <xdr:row>6</xdr:row>
      <xdr:rowOff>114300</xdr:rowOff>
    </xdr:to>
    <xdr:sp>
      <xdr:nvSpPr>
        <xdr:cNvPr id="32" name="Line 11"/>
        <xdr:cNvSpPr>
          <a:spLocks/>
        </xdr:cNvSpPr>
      </xdr:nvSpPr>
      <xdr:spPr>
        <a:xfrm>
          <a:off x="3362325" y="10858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16</xdr:row>
      <xdr:rowOff>114300</xdr:rowOff>
    </xdr:from>
    <xdr:to>
      <xdr:col>6</xdr:col>
      <xdr:colOff>304800</xdr:colOff>
      <xdr:row>16</xdr:row>
      <xdr:rowOff>114300</xdr:rowOff>
    </xdr:to>
    <xdr:sp>
      <xdr:nvSpPr>
        <xdr:cNvPr id="33" name="Line 12"/>
        <xdr:cNvSpPr>
          <a:spLocks/>
        </xdr:cNvSpPr>
      </xdr:nvSpPr>
      <xdr:spPr>
        <a:xfrm>
          <a:off x="2895600" y="270510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114300</xdr:rowOff>
    </xdr:from>
    <xdr:to>
      <xdr:col>6</xdr:col>
      <xdr:colOff>361950</xdr:colOff>
      <xdr:row>16</xdr:row>
      <xdr:rowOff>114300</xdr:rowOff>
    </xdr:to>
    <xdr:sp>
      <xdr:nvSpPr>
        <xdr:cNvPr id="34" name="Line 13"/>
        <xdr:cNvSpPr>
          <a:spLocks/>
        </xdr:cNvSpPr>
      </xdr:nvSpPr>
      <xdr:spPr>
        <a:xfrm flipV="1">
          <a:off x="3981450" y="1085850"/>
          <a:ext cx="0" cy="1619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447675</xdr:colOff>
      <xdr:row>4</xdr:row>
      <xdr:rowOff>114300</xdr:rowOff>
    </xdr:from>
    <xdr:to>
      <xdr:col>2</xdr:col>
      <xdr:colOff>447675</xdr:colOff>
      <xdr:row>5</xdr:row>
      <xdr:rowOff>66675</xdr:rowOff>
    </xdr:to>
    <xdr:sp>
      <xdr:nvSpPr>
        <xdr:cNvPr id="35" name="Line 14"/>
        <xdr:cNvSpPr>
          <a:spLocks/>
        </xdr:cNvSpPr>
      </xdr:nvSpPr>
      <xdr:spPr>
        <a:xfrm flipV="1">
          <a:off x="1724025" y="762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666750</xdr:colOff>
      <xdr:row>4</xdr:row>
      <xdr:rowOff>114300</xdr:rowOff>
    </xdr:from>
    <xdr:to>
      <xdr:col>2</xdr:col>
      <xdr:colOff>666750</xdr:colOff>
      <xdr:row>5</xdr:row>
      <xdr:rowOff>66675</xdr:rowOff>
    </xdr:to>
    <xdr:sp>
      <xdr:nvSpPr>
        <xdr:cNvPr id="36" name="Line 15"/>
        <xdr:cNvSpPr>
          <a:spLocks/>
        </xdr:cNvSpPr>
      </xdr:nvSpPr>
      <xdr:spPr>
        <a:xfrm flipV="1">
          <a:off x="1943100" y="762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447675</xdr:colOff>
      <xdr:row>4</xdr:row>
      <xdr:rowOff>66675</xdr:rowOff>
    </xdr:from>
    <xdr:to>
      <xdr:col>2</xdr:col>
      <xdr:colOff>666750</xdr:colOff>
      <xdr:row>4</xdr:row>
      <xdr:rowOff>66675</xdr:rowOff>
    </xdr:to>
    <xdr:sp>
      <xdr:nvSpPr>
        <xdr:cNvPr id="37" name="Line 16"/>
        <xdr:cNvSpPr>
          <a:spLocks/>
        </xdr:cNvSpPr>
      </xdr:nvSpPr>
      <xdr:spPr>
        <a:xfrm flipV="1">
          <a:off x="1724025" y="7143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15</xdr:row>
      <xdr:rowOff>38100</xdr:rowOff>
    </xdr:from>
    <xdr:to>
      <xdr:col>5</xdr:col>
      <xdr:colOff>76200</xdr:colOff>
      <xdr:row>15</xdr:row>
      <xdr:rowOff>38100</xdr:rowOff>
    </xdr:to>
    <xdr:sp>
      <xdr:nvSpPr>
        <xdr:cNvPr id="38" name="Line 17"/>
        <xdr:cNvSpPr>
          <a:spLocks/>
        </xdr:cNvSpPr>
      </xdr:nvSpPr>
      <xdr:spPr>
        <a:xfrm>
          <a:off x="2952750" y="24669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38100</xdr:rowOff>
    </xdr:from>
    <xdr:to>
      <xdr:col>5</xdr:col>
      <xdr:colOff>104775</xdr:colOff>
      <xdr:row>16</xdr:row>
      <xdr:rowOff>114300</xdr:rowOff>
    </xdr:to>
    <xdr:sp>
      <xdr:nvSpPr>
        <xdr:cNvPr id="39" name="Line 18"/>
        <xdr:cNvSpPr>
          <a:spLocks/>
        </xdr:cNvSpPr>
      </xdr:nvSpPr>
      <xdr:spPr>
        <a:xfrm>
          <a:off x="3314700" y="246697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28575</xdr:rowOff>
    </xdr:from>
    <xdr:to>
      <xdr:col>4</xdr:col>
      <xdr:colOff>333375</xdr:colOff>
      <xdr:row>16</xdr:row>
      <xdr:rowOff>114300</xdr:rowOff>
    </xdr:to>
    <xdr:sp>
      <xdr:nvSpPr>
        <xdr:cNvPr id="40" name="Dessin 20"/>
        <xdr:cNvSpPr>
          <a:spLocks/>
        </xdr:cNvSpPr>
      </xdr:nvSpPr>
      <xdr:spPr>
        <a:xfrm>
          <a:off x="1323975" y="1000125"/>
          <a:ext cx="1524000" cy="1704975"/>
        </a:xfrm>
        <a:custGeom>
          <a:pathLst>
            <a:path h="16384" w="16384">
              <a:moveTo>
                <a:pt x="16384" y="16384"/>
              </a:moveTo>
              <a:lnTo>
                <a:pt x="16384" y="14096"/>
              </a:lnTo>
              <a:lnTo>
                <a:pt x="7330" y="14096"/>
              </a:lnTo>
              <a:lnTo>
                <a:pt x="6144" y="0"/>
              </a:lnTo>
              <a:lnTo>
                <a:pt x="3988" y="0"/>
              </a:lnTo>
              <a:lnTo>
                <a:pt x="3988" y="14004"/>
              </a:lnTo>
              <a:lnTo>
                <a:pt x="0" y="14004"/>
              </a:lnTo>
              <a:lnTo>
                <a:pt x="0" y="16201"/>
              </a:lnTo>
              <a:lnTo>
                <a:pt x="0" y="16292"/>
              </a:lnTo>
              <a:lnTo>
                <a:pt x="0" y="16384"/>
              </a:lnTo>
              <a:lnTo>
                <a:pt x="16384" y="16384"/>
              </a:lnTo>
              <a:close/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47625</xdr:colOff>
      <xdr:row>18</xdr:row>
      <xdr:rowOff>85725</xdr:rowOff>
    </xdr:to>
    <xdr:sp>
      <xdr:nvSpPr>
        <xdr:cNvPr id="41" name="Line 21"/>
        <xdr:cNvSpPr>
          <a:spLocks/>
        </xdr:cNvSpPr>
      </xdr:nvSpPr>
      <xdr:spPr>
        <a:xfrm>
          <a:off x="1323975" y="27908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447675</xdr:colOff>
      <xdr:row>17</xdr:row>
      <xdr:rowOff>38100</xdr:rowOff>
    </xdr:from>
    <xdr:to>
      <xdr:col>2</xdr:col>
      <xdr:colOff>447675</xdr:colOff>
      <xdr:row>18</xdr:row>
      <xdr:rowOff>85725</xdr:rowOff>
    </xdr:to>
    <xdr:sp>
      <xdr:nvSpPr>
        <xdr:cNvPr id="42" name="Line 22"/>
        <xdr:cNvSpPr>
          <a:spLocks/>
        </xdr:cNvSpPr>
      </xdr:nvSpPr>
      <xdr:spPr>
        <a:xfrm>
          <a:off x="1724025" y="27908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38100</xdr:rowOff>
    </xdr:from>
    <xdr:to>
      <xdr:col>3</xdr:col>
      <xdr:colOff>28575</xdr:colOff>
      <xdr:row>18</xdr:row>
      <xdr:rowOff>85725</xdr:rowOff>
    </xdr:to>
    <xdr:sp>
      <xdr:nvSpPr>
        <xdr:cNvPr id="43" name="Line 23"/>
        <xdr:cNvSpPr>
          <a:spLocks/>
        </xdr:cNvSpPr>
      </xdr:nvSpPr>
      <xdr:spPr>
        <a:xfrm>
          <a:off x="2076450" y="279082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17</xdr:row>
      <xdr:rowOff>47625</xdr:rowOff>
    </xdr:from>
    <xdr:to>
      <xdr:col>4</xdr:col>
      <xdr:colOff>333375</xdr:colOff>
      <xdr:row>18</xdr:row>
      <xdr:rowOff>85725</xdr:rowOff>
    </xdr:to>
    <xdr:sp>
      <xdr:nvSpPr>
        <xdr:cNvPr id="44" name="Line 24"/>
        <xdr:cNvSpPr>
          <a:spLocks/>
        </xdr:cNvSpPr>
      </xdr:nvSpPr>
      <xdr:spPr>
        <a:xfrm>
          <a:off x="2847975" y="2800350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38100</xdr:rowOff>
    </xdr:from>
    <xdr:to>
      <xdr:col>2</xdr:col>
      <xdr:colOff>447675</xdr:colOff>
      <xdr:row>19</xdr:row>
      <xdr:rowOff>38100</xdr:rowOff>
    </xdr:to>
    <xdr:sp>
      <xdr:nvSpPr>
        <xdr:cNvPr id="45" name="Line 25"/>
        <xdr:cNvSpPr>
          <a:spLocks/>
        </xdr:cNvSpPr>
      </xdr:nvSpPr>
      <xdr:spPr>
        <a:xfrm>
          <a:off x="1304925" y="31146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447675</xdr:colOff>
      <xdr:row>19</xdr:row>
      <xdr:rowOff>38100</xdr:rowOff>
    </xdr:from>
    <xdr:to>
      <xdr:col>3</xdr:col>
      <xdr:colOff>28575</xdr:colOff>
      <xdr:row>19</xdr:row>
      <xdr:rowOff>38100</xdr:rowOff>
    </xdr:to>
    <xdr:sp>
      <xdr:nvSpPr>
        <xdr:cNvPr id="46" name="Line 26"/>
        <xdr:cNvSpPr>
          <a:spLocks/>
        </xdr:cNvSpPr>
      </xdr:nvSpPr>
      <xdr:spPr>
        <a:xfrm>
          <a:off x="1724025" y="3114675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38100</xdr:rowOff>
    </xdr:from>
    <xdr:to>
      <xdr:col>4</xdr:col>
      <xdr:colOff>333375</xdr:colOff>
      <xdr:row>19</xdr:row>
      <xdr:rowOff>38100</xdr:rowOff>
    </xdr:to>
    <xdr:sp>
      <xdr:nvSpPr>
        <xdr:cNvPr id="47" name="Line 28"/>
        <xdr:cNvSpPr>
          <a:spLocks/>
        </xdr:cNvSpPr>
      </xdr:nvSpPr>
      <xdr:spPr>
        <a:xfrm>
          <a:off x="2085975" y="311467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666750</xdr:colOff>
      <xdr:row>5</xdr:row>
      <xdr:rowOff>28575</xdr:rowOff>
    </xdr:from>
    <xdr:to>
      <xdr:col>4</xdr:col>
      <xdr:colOff>333375</xdr:colOff>
      <xdr:row>6</xdr:row>
      <xdr:rowOff>66675</xdr:rowOff>
    </xdr:to>
    <xdr:sp>
      <xdr:nvSpPr>
        <xdr:cNvPr id="48" name="Rectangle 29"/>
        <xdr:cNvSpPr>
          <a:spLocks/>
        </xdr:cNvSpPr>
      </xdr:nvSpPr>
      <xdr:spPr>
        <a:xfrm>
          <a:off x="1943100" y="838200"/>
          <a:ext cx="90487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400050</xdr:colOff>
      <xdr:row>5</xdr:row>
      <xdr:rowOff>66675</xdr:rowOff>
    </xdr:from>
    <xdr:to>
      <xdr:col>3</xdr:col>
      <xdr:colOff>466725</xdr:colOff>
      <xdr:row>6</xdr:row>
      <xdr:rowOff>38100</xdr:rowOff>
    </xdr:to>
    <xdr:sp>
      <xdr:nvSpPr>
        <xdr:cNvPr id="49" name="Texte 31"/>
        <xdr:cNvSpPr txBox="1">
          <a:spLocks noChangeArrowheads="1"/>
        </xdr:cNvSpPr>
      </xdr:nvSpPr>
      <xdr:spPr>
        <a:xfrm>
          <a:off x="2447925" y="876300"/>
          <a:ext cx="66675" cy="1333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</a:t>
          </a:r>
        </a:p>
      </xdr:txBody>
    </xdr:sp>
    <xdr:clientData/>
  </xdr:twoCellAnchor>
  <xdr:twoCellAnchor>
    <xdr:from>
      <xdr:col>3</xdr:col>
      <xdr:colOff>209550</xdr:colOff>
      <xdr:row>6</xdr:row>
      <xdr:rowOff>114300</xdr:rowOff>
    </xdr:from>
    <xdr:to>
      <xdr:col>3</xdr:col>
      <xdr:colOff>304800</xdr:colOff>
      <xdr:row>7</xdr:row>
      <xdr:rowOff>152400</xdr:rowOff>
    </xdr:to>
    <xdr:sp>
      <xdr:nvSpPr>
        <xdr:cNvPr id="50" name="Line 32"/>
        <xdr:cNvSpPr>
          <a:spLocks/>
        </xdr:cNvSpPr>
      </xdr:nvSpPr>
      <xdr:spPr>
        <a:xfrm>
          <a:off x="2257425" y="1085850"/>
          <a:ext cx="952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114300</xdr:rowOff>
    </xdr:from>
    <xdr:to>
      <xdr:col>3</xdr:col>
      <xdr:colOff>371475</xdr:colOff>
      <xdr:row>7</xdr:row>
      <xdr:rowOff>133350</xdr:rowOff>
    </xdr:to>
    <xdr:sp>
      <xdr:nvSpPr>
        <xdr:cNvPr id="51" name="Line 33"/>
        <xdr:cNvSpPr>
          <a:spLocks/>
        </xdr:cNvSpPr>
      </xdr:nvSpPr>
      <xdr:spPr>
        <a:xfrm>
          <a:off x="2286000" y="1085850"/>
          <a:ext cx="1333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114300</xdr:rowOff>
    </xdr:from>
    <xdr:to>
      <xdr:col>3</xdr:col>
      <xdr:colOff>400050</xdr:colOff>
      <xdr:row>7</xdr:row>
      <xdr:rowOff>114300</xdr:rowOff>
    </xdr:to>
    <xdr:sp>
      <xdr:nvSpPr>
        <xdr:cNvPr id="52" name="Line 34"/>
        <xdr:cNvSpPr>
          <a:spLocks/>
        </xdr:cNvSpPr>
      </xdr:nvSpPr>
      <xdr:spPr>
        <a:xfrm flipV="1">
          <a:off x="2209800" y="1085850"/>
          <a:ext cx="2381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114300</xdr:rowOff>
    </xdr:from>
    <xdr:to>
      <xdr:col>3</xdr:col>
      <xdr:colOff>447675</xdr:colOff>
      <xdr:row>7</xdr:row>
      <xdr:rowOff>123825</xdr:rowOff>
    </xdr:to>
    <xdr:sp>
      <xdr:nvSpPr>
        <xdr:cNvPr id="53" name="Line 35"/>
        <xdr:cNvSpPr>
          <a:spLocks/>
        </xdr:cNvSpPr>
      </xdr:nvSpPr>
      <xdr:spPr>
        <a:xfrm flipV="1">
          <a:off x="2257425" y="1085850"/>
          <a:ext cx="2381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352425</xdr:colOff>
      <xdr:row>19</xdr:row>
      <xdr:rowOff>76200</xdr:rowOff>
    </xdr:from>
    <xdr:to>
      <xdr:col>4</xdr:col>
      <xdr:colOff>28575</xdr:colOff>
      <xdr:row>20</xdr:row>
      <xdr:rowOff>76200</xdr:rowOff>
    </xdr:to>
    <xdr:sp>
      <xdr:nvSpPr>
        <xdr:cNvPr id="54" name="Texte 37"/>
        <xdr:cNvSpPr txBox="1">
          <a:spLocks noChangeArrowheads="1"/>
        </xdr:cNvSpPr>
      </xdr:nvSpPr>
      <xdr:spPr>
        <a:xfrm>
          <a:off x="2400300" y="31527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d'</a:t>
          </a:r>
        </a:p>
      </xdr:txBody>
    </xdr:sp>
    <xdr:clientData/>
  </xdr:twoCellAnchor>
  <xdr:twoCellAnchor>
    <xdr:from>
      <xdr:col>2</xdr:col>
      <xdr:colOff>571500</xdr:colOff>
      <xdr:row>19</xdr:row>
      <xdr:rowOff>85725</xdr:rowOff>
    </xdr:from>
    <xdr:to>
      <xdr:col>3</xdr:col>
      <xdr:colOff>9525</xdr:colOff>
      <xdr:row>20</xdr:row>
      <xdr:rowOff>85725</xdr:rowOff>
    </xdr:to>
    <xdr:sp>
      <xdr:nvSpPr>
        <xdr:cNvPr id="55" name="Texte 38"/>
        <xdr:cNvSpPr txBox="1">
          <a:spLocks noChangeArrowheads="1"/>
        </xdr:cNvSpPr>
      </xdr:nvSpPr>
      <xdr:spPr>
        <a:xfrm>
          <a:off x="1847850" y="3162300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e0</a:t>
          </a:r>
        </a:p>
      </xdr:txBody>
    </xdr:sp>
    <xdr:clientData/>
  </xdr:twoCellAnchor>
  <xdr:twoCellAnchor>
    <xdr:from>
      <xdr:col>2</xdr:col>
      <xdr:colOff>133350</xdr:colOff>
      <xdr:row>19</xdr:row>
      <xdr:rowOff>85725</xdr:rowOff>
    </xdr:from>
    <xdr:to>
      <xdr:col>2</xdr:col>
      <xdr:colOff>400050</xdr:colOff>
      <xdr:row>20</xdr:row>
      <xdr:rowOff>85725</xdr:rowOff>
    </xdr:to>
    <xdr:sp>
      <xdr:nvSpPr>
        <xdr:cNvPr id="56" name="Texte 39"/>
        <xdr:cNvSpPr txBox="1">
          <a:spLocks noChangeArrowheads="1"/>
        </xdr:cNvSpPr>
      </xdr:nvSpPr>
      <xdr:spPr>
        <a:xfrm>
          <a:off x="1409700" y="3162300"/>
          <a:ext cx="266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5</xdr:col>
      <xdr:colOff>152400</xdr:colOff>
      <xdr:row>15</xdr:row>
      <xdr:rowOff>38100</xdr:rowOff>
    </xdr:from>
    <xdr:to>
      <xdr:col>6</xdr:col>
      <xdr:colOff>28575</xdr:colOff>
      <xdr:row>16</xdr:row>
      <xdr:rowOff>85725</xdr:rowOff>
    </xdr:to>
    <xdr:sp>
      <xdr:nvSpPr>
        <xdr:cNvPr id="57" name="Texte 40"/>
        <xdr:cNvSpPr txBox="1">
          <a:spLocks noChangeArrowheads="1"/>
        </xdr:cNvSpPr>
      </xdr:nvSpPr>
      <xdr:spPr>
        <a:xfrm>
          <a:off x="3362325" y="2466975"/>
          <a:ext cx="2857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hs</a:t>
          </a:r>
        </a:p>
      </xdr:txBody>
    </xdr:sp>
    <xdr:clientData/>
  </xdr:twoCellAnchor>
  <xdr:twoCellAnchor>
    <xdr:from>
      <xdr:col>7</xdr:col>
      <xdr:colOff>47625</xdr:colOff>
      <xdr:row>11</xdr:row>
      <xdr:rowOff>66675</xdr:rowOff>
    </xdr:from>
    <xdr:to>
      <xdr:col>7</xdr:col>
      <xdr:colOff>323850</xdr:colOff>
      <xdr:row>12</xdr:row>
      <xdr:rowOff>85725</xdr:rowOff>
    </xdr:to>
    <xdr:sp>
      <xdr:nvSpPr>
        <xdr:cNvPr id="58" name="Texte 41"/>
        <xdr:cNvSpPr txBox="1">
          <a:spLocks noChangeArrowheads="1"/>
        </xdr:cNvSpPr>
      </xdr:nvSpPr>
      <xdr:spPr>
        <a:xfrm>
          <a:off x="4076700" y="1847850"/>
          <a:ext cx="276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ht</a:t>
          </a:r>
        </a:p>
      </xdr:txBody>
    </xdr:sp>
    <xdr:clientData/>
  </xdr:twoCellAnchor>
  <xdr:twoCellAnchor>
    <xdr:from>
      <xdr:col>0</xdr:col>
      <xdr:colOff>295275</xdr:colOff>
      <xdr:row>11</xdr:row>
      <xdr:rowOff>28575</xdr:rowOff>
    </xdr:from>
    <xdr:to>
      <xdr:col>0</xdr:col>
      <xdr:colOff>504825</xdr:colOff>
      <xdr:row>12</xdr:row>
      <xdr:rowOff>85725</xdr:rowOff>
    </xdr:to>
    <xdr:sp>
      <xdr:nvSpPr>
        <xdr:cNvPr id="59" name="Texte 42"/>
        <xdr:cNvSpPr txBox="1">
          <a:spLocks noChangeArrowheads="1"/>
        </xdr:cNvSpPr>
      </xdr:nvSpPr>
      <xdr:spPr>
        <a:xfrm>
          <a:off x="295275" y="18097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h0</a:t>
          </a:r>
        </a:p>
      </xdr:txBody>
    </xdr:sp>
    <xdr:clientData/>
  </xdr:twoCellAnchor>
  <xdr:twoCellAnchor>
    <xdr:from>
      <xdr:col>2</xdr:col>
      <xdr:colOff>533400</xdr:colOff>
      <xdr:row>3</xdr:row>
      <xdr:rowOff>28575</xdr:rowOff>
    </xdr:from>
    <xdr:to>
      <xdr:col>2</xdr:col>
      <xdr:colOff>733425</xdr:colOff>
      <xdr:row>4</xdr:row>
      <xdr:rowOff>28575</xdr:rowOff>
    </xdr:to>
    <xdr:sp>
      <xdr:nvSpPr>
        <xdr:cNvPr id="60" name="Texte 43"/>
        <xdr:cNvSpPr txBox="1">
          <a:spLocks noChangeArrowheads="1"/>
        </xdr:cNvSpPr>
      </xdr:nvSpPr>
      <xdr:spPr>
        <a:xfrm>
          <a:off x="1809750" y="514350"/>
          <a:ext cx="2000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et</a:t>
          </a:r>
        </a:p>
      </xdr:txBody>
    </xdr:sp>
    <xdr:clientData/>
  </xdr:twoCellAnchor>
  <xdr:twoCellAnchor>
    <xdr:from>
      <xdr:col>2</xdr:col>
      <xdr:colOff>19050</xdr:colOff>
      <xdr:row>13</xdr:row>
      <xdr:rowOff>152400</xdr:rowOff>
    </xdr:from>
    <xdr:to>
      <xdr:col>2</xdr:col>
      <xdr:colOff>447675</xdr:colOff>
      <xdr:row>13</xdr:row>
      <xdr:rowOff>152400</xdr:rowOff>
    </xdr:to>
    <xdr:sp>
      <xdr:nvSpPr>
        <xdr:cNvPr id="61" name="Line 80"/>
        <xdr:cNvSpPr>
          <a:spLocks/>
        </xdr:cNvSpPr>
      </xdr:nvSpPr>
      <xdr:spPr>
        <a:xfrm>
          <a:off x="1295400" y="225742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152400</xdr:rowOff>
    </xdr:from>
    <xdr:to>
      <xdr:col>1</xdr:col>
      <xdr:colOff>438150</xdr:colOff>
      <xdr:row>13</xdr:row>
      <xdr:rowOff>152400</xdr:rowOff>
    </xdr:to>
    <xdr:sp>
      <xdr:nvSpPr>
        <xdr:cNvPr id="62" name="Line 81"/>
        <xdr:cNvSpPr>
          <a:spLocks/>
        </xdr:cNvSpPr>
      </xdr:nvSpPr>
      <xdr:spPr>
        <a:xfrm>
          <a:off x="790575" y="22574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13</xdr:row>
      <xdr:rowOff>152400</xdr:rowOff>
    </xdr:from>
    <xdr:to>
      <xdr:col>1</xdr:col>
      <xdr:colOff>266700</xdr:colOff>
      <xdr:row>16</xdr:row>
      <xdr:rowOff>104775</xdr:rowOff>
    </xdr:to>
    <xdr:sp>
      <xdr:nvSpPr>
        <xdr:cNvPr id="63" name="Line 83"/>
        <xdr:cNvSpPr>
          <a:spLocks/>
        </xdr:cNvSpPr>
      </xdr:nvSpPr>
      <xdr:spPr>
        <a:xfrm>
          <a:off x="933450" y="22574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104775</xdr:rowOff>
    </xdr:from>
    <xdr:to>
      <xdr:col>1</xdr:col>
      <xdr:colOff>285750</xdr:colOff>
      <xdr:row>15</xdr:row>
      <xdr:rowOff>123825</xdr:rowOff>
    </xdr:to>
    <xdr:sp>
      <xdr:nvSpPr>
        <xdr:cNvPr id="64" name="Texte 84"/>
        <xdr:cNvSpPr txBox="1">
          <a:spLocks noChangeArrowheads="1"/>
        </xdr:cNvSpPr>
      </xdr:nvSpPr>
      <xdr:spPr>
        <a:xfrm>
          <a:off x="685800" y="2371725"/>
          <a:ext cx="2667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De</a:t>
          </a:r>
        </a:p>
      </xdr:txBody>
    </xdr:sp>
    <xdr:clientData/>
  </xdr:twoCellAnchor>
  <xdr:twoCellAnchor editAs="oneCell">
    <xdr:from>
      <xdr:col>1</xdr:col>
      <xdr:colOff>342900</xdr:colOff>
      <xdr:row>131</xdr:row>
      <xdr:rowOff>104775</xdr:rowOff>
    </xdr:from>
    <xdr:to>
      <xdr:col>4</xdr:col>
      <xdr:colOff>219075</xdr:colOff>
      <xdr:row>133</xdr:row>
      <xdr:rowOff>28575</xdr:rowOff>
    </xdr:to>
    <xdr:pic>
      <xdr:nvPicPr>
        <xdr:cNvPr id="6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526625"/>
          <a:ext cx="17240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38100</xdr:rowOff>
    </xdr:from>
    <xdr:to>
      <xdr:col>3</xdr:col>
      <xdr:colOff>76200</xdr:colOff>
      <xdr:row>32</xdr:row>
      <xdr:rowOff>104775</xdr:rowOff>
    </xdr:to>
    <xdr:pic>
      <xdr:nvPicPr>
        <xdr:cNvPr id="6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181600"/>
          <a:ext cx="13716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0</xdr:colOff>
      <xdr:row>2</xdr:row>
      <xdr:rowOff>133350</xdr:rowOff>
    </xdr:from>
    <xdr:to>
      <xdr:col>4</xdr:col>
      <xdr:colOff>0</xdr:colOff>
      <xdr:row>5</xdr:row>
      <xdr:rowOff>0</xdr:rowOff>
    </xdr:to>
    <xdr:sp>
      <xdr:nvSpPr>
        <xdr:cNvPr id="67" name="Line 113"/>
        <xdr:cNvSpPr>
          <a:spLocks/>
        </xdr:cNvSpPr>
      </xdr:nvSpPr>
      <xdr:spPr>
        <a:xfrm flipH="1">
          <a:off x="2514600" y="457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685800</xdr:colOff>
      <xdr:row>2</xdr:row>
      <xdr:rowOff>133350</xdr:rowOff>
    </xdr:from>
    <xdr:to>
      <xdr:col>4</xdr:col>
      <xdr:colOff>685800</xdr:colOff>
      <xdr:row>5</xdr:row>
      <xdr:rowOff>0</xdr:rowOff>
    </xdr:to>
    <xdr:sp>
      <xdr:nvSpPr>
        <xdr:cNvPr id="68" name="Line 114"/>
        <xdr:cNvSpPr>
          <a:spLocks/>
        </xdr:cNvSpPr>
      </xdr:nvSpPr>
      <xdr:spPr>
        <a:xfrm flipH="1">
          <a:off x="3200400" y="457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457200</xdr:colOff>
      <xdr:row>2</xdr:row>
      <xdr:rowOff>9525</xdr:rowOff>
    </xdr:from>
    <xdr:to>
      <xdr:col>2</xdr:col>
      <xdr:colOff>457200</xdr:colOff>
      <xdr:row>3</xdr:row>
      <xdr:rowOff>57150</xdr:rowOff>
    </xdr:to>
    <xdr:sp>
      <xdr:nvSpPr>
        <xdr:cNvPr id="69" name="Line 115"/>
        <xdr:cNvSpPr>
          <a:spLocks/>
        </xdr:cNvSpPr>
      </xdr:nvSpPr>
      <xdr:spPr>
        <a:xfrm>
          <a:off x="1733550" y="333375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476250</xdr:colOff>
      <xdr:row>2</xdr:row>
      <xdr:rowOff>9525</xdr:rowOff>
    </xdr:from>
    <xdr:to>
      <xdr:col>4</xdr:col>
      <xdr:colOff>0</xdr:colOff>
      <xdr:row>2</xdr:row>
      <xdr:rowOff>9525</xdr:rowOff>
    </xdr:to>
    <xdr:sp>
      <xdr:nvSpPr>
        <xdr:cNvPr id="70" name="Line 117"/>
        <xdr:cNvSpPr>
          <a:spLocks/>
        </xdr:cNvSpPr>
      </xdr:nvSpPr>
      <xdr:spPr>
        <a:xfrm>
          <a:off x="1752600" y="33337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428625</xdr:colOff>
      <xdr:row>2</xdr:row>
      <xdr:rowOff>0</xdr:rowOff>
    </xdr:to>
    <xdr:sp>
      <xdr:nvSpPr>
        <xdr:cNvPr id="71" name="Texte 37"/>
        <xdr:cNvSpPr txBox="1">
          <a:spLocks noChangeArrowheads="1"/>
        </xdr:cNvSpPr>
      </xdr:nvSpPr>
      <xdr:spPr>
        <a:xfrm>
          <a:off x="2762250" y="161925"/>
          <a:ext cx="180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</a:t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4</xdr:col>
      <xdr:colOff>685800</xdr:colOff>
      <xdr:row>2</xdr:row>
      <xdr:rowOff>9525</xdr:rowOff>
    </xdr:to>
    <xdr:sp>
      <xdr:nvSpPr>
        <xdr:cNvPr id="72" name="Line 119"/>
        <xdr:cNvSpPr>
          <a:spLocks/>
        </xdr:cNvSpPr>
      </xdr:nvSpPr>
      <xdr:spPr>
        <a:xfrm>
          <a:off x="2533650" y="3333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0</xdr:rowOff>
    </xdr:from>
    <xdr:to>
      <xdr:col>3</xdr:col>
      <xdr:colOff>257175</xdr:colOff>
      <xdr:row>2</xdr:row>
      <xdr:rowOff>0</xdr:rowOff>
    </xdr:to>
    <xdr:sp>
      <xdr:nvSpPr>
        <xdr:cNvPr id="73" name="Texte 37"/>
        <xdr:cNvSpPr txBox="1">
          <a:spLocks noChangeArrowheads="1"/>
        </xdr:cNvSpPr>
      </xdr:nvSpPr>
      <xdr:spPr>
        <a:xfrm>
          <a:off x="2124075" y="161925"/>
          <a:ext cx="1809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4</xdr:col>
      <xdr:colOff>57150</xdr:colOff>
      <xdr:row>2</xdr:row>
      <xdr:rowOff>142875</xdr:rowOff>
    </xdr:from>
    <xdr:to>
      <xdr:col>4</xdr:col>
      <xdr:colOff>304800</xdr:colOff>
      <xdr:row>3</xdr:row>
      <xdr:rowOff>152400</xdr:rowOff>
    </xdr:to>
    <xdr:sp>
      <xdr:nvSpPr>
        <xdr:cNvPr id="74" name="Texte 37"/>
        <xdr:cNvSpPr txBox="1">
          <a:spLocks noChangeArrowheads="1"/>
        </xdr:cNvSpPr>
      </xdr:nvSpPr>
      <xdr:spPr>
        <a:xfrm>
          <a:off x="2571750" y="466725"/>
          <a:ext cx="2476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Q1</a:t>
          </a:r>
        </a:p>
      </xdr:txBody>
    </xdr:sp>
    <xdr:clientData/>
  </xdr:twoCellAnchor>
  <xdr:twoCellAnchor>
    <xdr:from>
      <xdr:col>5</xdr:col>
      <xdr:colOff>38100</xdr:colOff>
      <xdr:row>2</xdr:row>
      <xdr:rowOff>142875</xdr:rowOff>
    </xdr:from>
    <xdr:to>
      <xdr:col>5</xdr:col>
      <xdr:colOff>285750</xdr:colOff>
      <xdr:row>3</xdr:row>
      <xdr:rowOff>152400</xdr:rowOff>
    </xdr:to>
    <xdr:sp>
      <xdr:nvSpPr>
        <xdr:cNvPr id="75" name="Texte 37"/>
        <xdr:cNvSpPr txBox="1">
          <a:spLocks noChangeArrowheads="1"/>
        </xdr:cNvSpPr>
      </xdr:nvSpPr>
      <xdr:spPr>
        <a:xfrm>
          <a:off x="3248025" y="466725"/>
          <a:ext cx="2476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Q2</a:t>
          </a:r>
        </a:p>
      </xdr:txBody>
    </xdr:sp>
    <xdr:clientData/>
  </xdr:twoCellAnchor>
  <xdr:twoCellAnchor>
    <xdr:from>
      <xdr:col>2</xdr:col>
      <xdr:colOff>752475</xdr:colOff>
      <xdr:row>40</xdr:row>
      <xdr:rowOff>0</xdr:rowOff>
    </xdr:from>
    <xdr:to>
      <xdr:col>5</xdr:col>
      <xdr:colOff>114300</xdr:colOff>
      <xdr:row>41</xdr:row>
      <xdr:rowOff>180975</xdr:rowOff>
    </xdr:to>
    <xdr:grpSp>
      <xdr:nvGrpSpPr>
        <xdr:cNvPr id="76" name="Group 126"/>
        <xdr:cNvGrpSpPr>
          <a:grpSpLocks/>
        </xdr:cNvGrpSpPr>
      </xdr:nvGrpSpPr>
      <xdr:grpSpPr>
        <a:xfrm>
          <a:off x="2028825" y="6743700"/>
          <a:ext cx="1295400" cy="371475"/>
          <a:chOff x="214" y="708"/>
          <a:chExt cx="149" cy="39"/>
        </a:xfrm>
        <a:solidFill>
          <a:srgbClr val="FFFFFF"/>
        </a:solidFill>
      </xdr:grpSpPr>
      <xdr:pic>
        <xdr:nvPicPr>
          <xdr:cNvPr id="77" name="OptionButton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4" y="708"/>
            <a:ext cx="148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8" name="OptionButton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4" y="728"/>
            <a:ext cx="149" cy="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Z190"/>
  <sheetViews>
    <sheetView tabSelected="1" workbookViewId="0" topLeftCell="A158">
      <selection activeCell="C23" sqref="C23"/>
    </sheetView>
  </sheetViews>
  <sheetFormatPr defaultColWidth="12" defaultRowHeight="12.75"/>
  <cols>
    <col min="1" max="1" width="11.66015625" style="0" customWidth="1"/>
    <col min="2" max="2" width="10.66015625" style="0" customWidth="1"/>
    <col min="3" max="3" width="13.5" style="0" customWidth="1"/>
    <col min="4" max="4" width="8.16015625" style="0" customWidth="1"/>
    <col min="5" max="5" width="12.16015625" style="0" customWidth="1"/>
    <col min="6" max="7" width="7.16015625" style="0" customWidth="1"/>
    <col min="8" max="8" width="8.66015625" style="0" customWidth="1"/>
    <col min="9" max="9" width="9.83203125" style="0" customWidth="1"/>
    <col min="10" max="10" width="8.16015625" style="0" customWidth="1"/>
    <col min="11" max="11" width="7.66015625" style="0" customWidth="1"/>
    <col min="12" max="12" width="3.16015625" style="0" customWidth="1"/>
    <col min="13" max="13" width="12" style="88" hidden="1" customWidth="1"/>
    <col min="14" max="14" width="7.5" style="88" hidden="1" customWidth="1"/>
    <col min="15" max="16" width="7" style="90" hidden="1" customWidth="1"/>
    <col min="17" max="17" width="7.5" style="90" hidden="1" customWidth="1"/>
    <col min="18" max="18" width="8.5" style="90" hidden="1" customWidth="1"/>
    <col min="19" max="19" width="15.66015625" style="88" hidden="1" customWidth="1"/>
    <col min="20" max="23" width="12" style="88" hidden="1" customWidth="1"/>
    <col min="24" max="25" width="12" style="0" hidden="1" customWidth="1"/>
  </cols>
  <sheetData>
    <row r="5" ht="12.75">
      <c r="C5" s="1"/>
    </row>
    <row r="13" ht="12.75">
      <c r="A13" s="1"/>
    </row>
    <row r="21" spans="3:4" ht="12.75">
      <c r="C21" s="1"/>
      <c r="D21" s="1"/>
    </row>
    <row r="22" ht="9" customHeight="1"/>
    <row r="23" spans="1:8" ht="15.75">
      <c r="A23" s="2" t="s">
        <v>0</v>
      </c>
      <c r="B23" s="1" t="s">
        <v>1</v>
      </c>
      <c r="C23" s="149">
        <v>5.07</v>
      </c>
      <c r="D23" t="s">
        <v>2</v>
      </c>
      <c r="E23" s="2" t="s">
        <v>3</v>
      </c>
      <c r="F23" s="1" t="s">
        <v>4</v>
      </c>
      <c r="G23" s="152">
        <v>18</v>
      </c>
      <c r="H23" t="s">
        <v>5</v>
      </c>
    </row>
    <row r="24" spans="2:8" ht="12.75">
      <c r="B24" s="1" t="s">
        <v>6</v>
      </c>
      <c r="C24" s="149">
        <v>5.07</v>
      </c>
      <c r="D24" t="s">
        <v>2</v>
      </c>
      <c r="F24" s="3" t="s">
        <v>7</v>
      </c>
      <c r="G24" s="152">
        <v>25</v>
      </c>
      <c r="H24" t="s">
        <v>8</v>
      </c>
    </row>
    <row r="25" spans="2:19" ht="12.75">
      <c r="B25" s="1" t="s">
        <v>9</v>
      </c>
      <c r="C25" s="149">
        <v>0.45</v>
      </c>
      <c r="D25" t="s">
        <v>2</v>
      </c>
      <c r="P25" s="92" t="s">
        <v>10</v>
      </c>
      <c r="Q25" s="89" t="s">
        <v>11</v>
      </c>
      <c r="R25" s="93">
        <f>0.5*(C26+C27+C28)</f>
        <v>2.275</v>
      </c>
      <c r="S25" s="88" t="s">
        <v>2</v>
      </c>
    </row>
    <row r="26" spans="2:16" ht="14.25">
      <c r="B26" s="1" t="s">
        <v>4</v>
      </c>
      <c r="C26" s="149">
        <v>0.3</v>
      </c>
      <c r="D26" t="s">
        <v>2</v>
      </c>
      <c r="F26" s="1" t="s">
        <v>162</v>
      </c>
      <c r="G26">
        <f>(TAN((45-(G24/2))*PI()/180)^2)</f>
        <v>0.4058585172053274</v>
      </c>
      <c r="P26" s="90" t="s">
        <v>12</v>
      </c>
    </row>
    <row r="27" spans="2:19" ht="14.25">
      <c r="B27" s="1" t="s">
        <v>13</v>
      </c>
      <c r="C27" s="150">
        <v>3.8</v>
      </c>
      <c r="D27" t="s">
        <v>2</v>
      </c>
      <c r="F27" s="1"/>
      <c r="O27" s="88"/>
      <c r="P27" s="92" t="s">
        <v>14</v>
      </c>
      <c r="Q27" s="89" t="s">
        <v>15</v>
      </c>
      <c r="R27" s="93">
        <f>(0.5*(C26+C27+C28)^2*C25+C29*(C23-C25)*(0.5*C29+C26)+(C28-C29)*0.5*(C23-C25)*((C28-C29)/3+C29+C26))/((C26+C27+C28)*C25+(C28+C29)/2*(C23-C25))</f>
        <v>1.3933206106870228</v>
      </c>
      <c r="S27" s="88" t="s">
        <v>2</v>
      </c>
    </row>
    <row r="28" spans="2:16" ht="15.75">
      <c r="B28" s="1" t="s">
        <v>16</v>
      </c>
      <c r="C28" s="149">
        <v>0.45</v>
      </c>
      <c r="D28" t="s">
        <v>2</v>
      </c>
      <c r="E28" s="2" t="s">
        <v>17</v>
      </c>
      <c r="F28" s="1" t="s">
        <v>4</v>
      </c>
      <c r="G28" s="152">
        <v>25</v>
      </c>
      <c r="H28" t="s">
        <v>5</v>
      </c>
      <c r="P28" s="90" t="s">
        <v>12</v>
      </c>
    </row>
    <row r="29" spans="2:8" ht="14.25">
      <c r="B29" s="1" t="s">
        <v>163</v>
      </c>
      <c r="C29" s="149">
        <v>0.45</v>
      </c>
      <c r="D29" t="s">
        <v>2</v>
      </c>
      <c r="F29" s="1" t="s">
        <v>18</v>
      </c>
      <c r="G29" s="152">
        <v>25</v>
      </c>
      <c r="H29" t="s">
        <v>19</v>
      </c>
    </row>
    <row r="30" spans="2:15" ht="14.25">
      <c r="B30" s="1" t="s">
        <v>20</v>
      </c>
      <c r="C30" s="149">
        <v>1</v>
      </c>
      <c r="D30" t="s">
        <v>2</v>
      </c>
      <c r="F30" s="1"/>
      <c r="O30" s="92" t="s">
        <v>21</v>
      </c>
    </row>
    <row r="31" spans="2:8" ht="14.25">
      <c r="B31" s="1" t="s">
        <v>22</v>
      </c>
      <c r="C31" s="149">
        <v>0</v>
      </c>
      <c r="D31" t="s">
        <v>2</v>
      </c>
      <c r="E31" s="2" t="s">
        <v>23</v>
      </c>
      <c r="F31" s="1" t="s">
        <v>24</v>
      </c>
      <c r="G31" s="152">
        <v>500</v>
      </c>
      <c r="H31" t="s">
        <v>19</v>
      </c>
    </row>
    <row r="32" spans="1:8" ht="12.75">
      <c r="A32" s="158" t="b">
        <v>0</v>
      </c>
      <c r="B32" s="155"/>
      <c r="C32" s="5"/>
      <c r="E32" s="2"/>
      <c r="F32" s="1" t="s">
        <v>25</v>
      </c>
      <c r="G32" s="152">
        <v>5</v>
      </c>
      <c r="H32" t="s">
        <v>191</v>
      </c>
    </row>
    <row r="33" spans="15:19" ht="13.5" thickBot="1">
      <c r="O33" s="89" t="s">
        <v>26</v>
      </c>
      <c r="P33" s="94">
        <f>C26+C27+C28</f>
        <v>4.55</v>
      </c>
      <c r="Q33" s="95" t="s">
        <v>2</v>
      </c>
      <c r="R33" s="89" t="s">
        <v>27</v>
      </c>
      <c r="S33" s="96">
        <f>1+0.2*(P33/P35)</f>
        <v>1.9100000000000001</v>
      </c>
    </row>
    <row r="34" spans="1:19" ht="16.5" thickTop="1">
      <c r="A34" s="124" t="s">
        <v>28</v>
      </c>
      <c r="B34" s="125" t="s">
        <v>29</v>
      </c>
      <c r="C34" s="151">
        <v>20</v>
      </c>
      <c r="D34" s="126" t="s">
        <v>30</v>
      </c>
      <c r="E34" s="2" t="s">
        <v>31</v>
      </c>
      <c r="F34" s="3" t="s">
        <v>7</v>
      </c>
      <c r="G34" s="152">
        <v>30</v>
      </c>
      <c r="H34" t="s">
        <v>8</v>
      </c>
      <c r="O34" s="89" t="s">
        <v>32</v>
      </c>
      <c r="P34" s="94">
        <f>C31</f>
        <v>0</v>
      </c>
      <c r="Q34" s="95" t="s">
        <v>2</v>
      </c>
      <c r="R34" s="89" t="s">
        <v>33</v>
      </c>
      <c r="S34" s="96">
        <f>1-0.2*(P33/P35)</f>
        <v>0.08999999999999997</v>
      </c>
    </row>
    <row r="35" spans="1:19" ht="12.75">
      <c r="A35" s="140" t="s">
        <v>160</v>
      </c>
      <c r="B35" s="7"/>
      <c r="C35" s="7"/>
      <c r="D35" s="128"/>
      <c r="F35" s="1" t="s">
        <v>34</v>
      </c>
      <c r="G35" s="152">
        <v>0</v>
      </c>
      <c r="H35" t="s">
        <v>35</v>
      </c>
      <c r="O35" s="89" t="s">
        <v>20</v>
      </c>
      <c r="P35" s="94">
        <f>C30</f>
        <v>1</v>
      </c>
      <c r="Q35" s="95" t="s">
        <v>2</v>
      </c>
      <c r="R35" s="89" t="s">
        <v>36</v>
      </c>
      <c r="S35" s="95">
        <v>1</v>
      </c>
    </row>
    <row r="36" spans="1:26" ht="16.5">
      <c r="A36" s="129" t="s">
        <v>28</v>
      </c>
      <c r="B36" s="130" t="s">
        <v>141</v>
      </c>
      <c r="C36" s="167">
        <v>1</v>
      </c>
      <c r="D36" s="131" t="s">
        <v>2</v>
      </c>
      <c r="F36" s="3" t="s">
        <v>37</v>
      </c>
      <c r="G36" s="152">
        <v>18</v>
      </c>
      <c r="H36" t="s">
        <v>5</v>
      </c>
      <c r="Z36" s="170" t="s">
        <v>189</v>
      </c>
    </row>
    <row r="37" spans="1:19" ht="12.75">
      <c r="A37" s="140" t="s">
        <v>161</v>
      </c>
      <c r="B37" s="130" t="s">
        <v>38</v>
      </c>
      <c r="C37" s="167">
        <v>1</v>
      </c>
      <c r="D37" s="131" t="s">
        <v>2</v>
      </c>
      <c r="F37" s="1"/>
      <c r="R37" s="89" t="s">
        <v>39</v>
      </c>
      <c r="S37" s="96">
        <f>VLOOKUP(1,N46:R57,3)</f>
        <v>30</v>
      </c>
    </row>
    <row r="38" spans="1:19" ht="12.75">
      <c r="A38" s="127"/>
      <c r="B38" s="132" t="s">
        <v>40</v>
      </c>
      <c r="C38" s="168">
        <v>0</v>
      </c>
      <c r="D38" s="131" t="s">
        <v>41</v>
      </c>
      <c r="F38" s="1"/>
      <c r="J38" s="72"/>
      <c r="K38" s="72"/>
      <c r="R38" s="89" t="s">
        <v>42</v>
      </c>
      <c r="S38" s="96">
        <f>VLOOKUP(1,N46:R57,4)</f>
        <v>18.1</v>
      </c>
    </row>
    <row r="39" spans="1:19" ht="13.5" thickBot="1">
      <c r="A39" s="133"/>
      <c r="B39" s="134" t="s">
        <v>43</v>
      </c>
      <c r="C39" s="169">
        <v>0</v>
      </c>
      <c r="D39" s="135" t="s">
        <v>41</v>
      </c>
      <c r="F39" s="1"/>
      <c r="R39" s="89" t="s">
        <v>44</v>
      </c>
      <c r="S39" s="96">
        <f>VLOOKUP(1,N46:R57,5)</f>
        <v>18.4</v>
      </c>
    </row>
    <row r="40" ht="15" customHeight="1" thickTop="1"/>
    <row r="41" spans="1:8" ht="15" customHeight="1">
      <c r="A41" s="147" t="s">
        <v>174</v>
      </c>
      <c r="C41" s="157" t="b">
        <v>0</v>
      </c>
      <c r="D41" s="156"/>
      <c r="F41" s="1" t="s">
        <v>45</v>
      </c>
      <c r="G41" s="28">
        <f>S33*G35*S37+0.5*S34*G36*P33*S38+S35*G36*P34*S39</f>
        <v>66.70754999999998</v>
      </c>
      <c r="H41" t="s">
        <v>35</v>
      </c>
    </row>
    <row r="42" spans="4:8" ht="15" customHeight="1">
      <c r="D42" s="156"/>
      <c r="F42" s="1" t="s">
        <v>45</v>
      </c>
      <c r="G42" s="153">
        <v>1200</v>
      </c>
      <c r="H42" t="s">
        <v>35</v>
      </c>
    </row>
    <row r="43" spans="6:7" ht="15" customHeight="1">
      <c r="F43" s="1"/>
      <c r="G43" s="28"/>
    </row>
    <row r="44" ht="15" customHeight="1" thickBot="1">
      <c r="F44" s="1"/>
    </row>
    <row r="45" spans="1:18" ht="15" customHeight="1" thickBot="1">
      <c r="A45" s="4" t="s">
        <v>46</v>
      </c>
      <c r="O45" s="97" t="s">
        <v>47</v>
      </c>
      <c r="P45" s="98" t="s">
        <v>48</v>
      </c>
      <c r="Q45" s="98" t="s">
        <v>49</v>
      </c>
      <c r="R45" s="99" t="s">
        <v>50</v>
      </c>
    </row>
    <row r="46" spans="6:18" ht="12.75">
      <c r="F46" s="29" t="s">
        <v>51</v>
      </c>
      <c r="G46" s="30"/>
      <c r="H46" s="29" t="s">
        <v>52</v>
      </c>
      <c r="I46" s="30"/>
      <c r="J46" s="31" t="s">
        <v>53</v>
      </c>
      <c r="K46" s="30"/>
      <c r="N46" s="90">
        <f aca="true" t="shared" si="0" ref="N46:N54">IF(O46=$G$34,1,"")</f>
      </c>
      <c r="O46" s="100">
        <v>0</v>
      </c>
      <c r="P46" s="101">
        <v>5.14</v>
      </c>
      <c r="Q46" s="101">
        <v>0</v>
      </c>
      <c r="R46" s="102">
        <v>1</v>
      </c>
    </row>
    <row r="47" spans="4:18" ht="13.5" thickBot="1">
      <c r="D47" s="2" t="s">
        <v>54</v>
      </c>
      <c r="F47" s="18"/>
      <c r="G47" s="14"/>
      <c r="H47" s="18"/>
      <c r="I47" s="14"/>
      <c r="J47" s="12"/>
      <c r="K47" s="14"/>
      <c r="N47" s="90">
        <f t="shared" si="0"/>
      </c>
      <c r="O47" s="100">
        <v>5</v>
      </c>
      <c r="P47" s="101">
        <v>6.5</v>
      </c>
      <c r="Q47" s="101">
        <v>0.1</v>
      </c>
      <c r="R47" s="102">
        <v>1.6</v>
      </c>
    </row>
    <row r="48" spans="2:18" ht="12.75">
      <c r="B48" s="15"/>
      <c r="C48" s="16"/>
      <c r="D48" s="16"/>
      <c r="E48" s="17" t="s">
        <v>55</v>
      </c>
      <c r="F48" s="9">
        <v>0</v>
      </c>
      <c r="G48" s="8" t="s">
        <v>56</v>
      </c>
      <c r="H48" s="9">
        <f>-G28*((C26+C27+C28)*C25+0.5*(C28+C29)*(C23-C25))</f>
        <v>-103.1625</v>
      </c>
      <c r="I48" s="8" t="s">
        <v>56</v>
      </c>
      <c r="J48" s="10">
        <f>G28*((C26+C27+C28)*C25*(0.5*(C26+C27+C28)-R25)+(C29*(C23-C25)*(0.5*C29+C26-R25))+(0.5*(C28-C29)*(C23-C25)*((C28-C29)/3+C29+C26-R25)))</f>
        <v>-90.95625000000001</v>
      </c>
      <c r="K48" s="8" t="s">
        <v>57</v>
      </c>
      <c r="N48" s="90">
        <f t="shared" si="0"/>
      </c>
      <c r="O48" s="100">
        <v>10</v>
      </c>
      <c r="P48" s="101">
        <v>8.4</v>
      </c>
      <c r="Q48" s="101">
        <v>0.5</v>
      </c>
      <c r="R48" s="102">
        <v>2.5</v>
      </c>
    </row>
    <row r="49" spans="2:18" ht="12.75">
      <c r="B49" s="6"/>
      <c r="C49" s="7"/>
      <c r="D49" s="7"/>
      <c r="E49" s="20" t="s">
        <v>58</v>
      </c>
      <c r="F49" s="9">
        <v>0</v>
      </c>
      <c r="G49" s="8" t="s">
        <v>56</v>
      </c>
      <c r="H49" s="9">
        <f>-(C31-C25)*G23*C26</f>
        <v>2.4299999999999997</v>
      </c>
      <c r="I49" s="8" t="s">
        <v>56</v>
      </c>
      <c r="J49" s="10">
        <f>-H49*(0.5*C26-R25)</f>
        <v>5.163749999999999</v>
      </c>
      <c r="K49" s="8" t="s">
        <v>57</v>
      </c>
      <c r="N49" s="90">
        <f t="shared" si="0"/>
      </c>
      <c r="O49" s="100">
        <v>15</v>
      </c>
      <c r="P49" s="101">
        <v>11</v>
      </c>
      <c r="Q49" s="101">
        <v>1.4</v>
      </c>
      <c r="R49" s="102">
        <v>4</v>
      </c>
    </row>
    <row r="50" spans="2:18" ht="13.5" thickBot="1">
      <c r="B50" s="18"/>
      <c r="C50" s="12"/>
      <c r="D50" s="12"/>
      <c r="E50" s="19" t="s">
        <v>59</v>
      </c>
      <c r="F50" s="11">
        <v>0</v>
      </c>
      <c r="G50" s="14" t="s">
        <v>56</v>
      </c>
      <c r="H50" s="11">
        <f>-(C27+C27+C28-C29)/2*(C24-C25)*G23</f>
        <v>-316.0079999999999</v>
      </c>
      <c r="I50" s="14" t="s">
        <v>56</v>
      </c>
      <c r="J50" s="13">
        <f>G23*((C27*(C24-C25)*(0.5*C27+C28+C26-R25)+(C28-C29)*0.5*(C24-C25)*(2*(C28-C29)/3+C29+C26-R25)))</f>
        <v>118.50300000000001</v>
      </c>
      <c r="K50" s="14" t="s">
        <v>57</v>
      </c>
      <c r="N50" s="90">
        <f t="shared" si="0"/>
      </c>
      <c r="O50" s="100">
        <v>20</v>
      </c>
      <c r="P50" s="101">
        <v>14.8</v>
      </c>
      <c r="Q50" s="101">
        <v>3.5</v>
      </c>
      <c r="R50" s="102">
        <v>6.4</v>
      </c>
    </row>
    <row r="51" spans="11:18" ht="12.75">
      <c r="K51" s="1" t="s">
        <v>60</v>
      </c>
      <c r="N51" s="90">
        <f t="shared" si="0"/>
      </c>
      <c r="O51" s="100">
        <v>25</v>
      </c>
      <c r="P51" s="101">
        <v>20.7</v>
      </c>
      <c r="Q51" s="101">
        <v>8.1</v>
      </c>
      <c r="R51" s="102">
        <v>10.7</v>
      </c>
    </row>
    <row r="52" spans="4:18" ht="13.5" thickBot="1">
      <c r="D52" s="2" t="s">
        <v>61</v>
      </c>
      <c r="N52" s="90">
        <f t="shared" si="0"/>
        <v>1</v>
      </c>
      <c r="O52" s="100">
        <v>30</v>
      </c>
      <c r="P52" s="101">
        <v>30</v>
      </c>
      <c r="Q52" s="101">
        <v>18.1</v>
      </c>
      <c r="R52" s="102">
        <v>18.4</v>
      </c>
    </row>
    <row r="53" spans="2:18" ht="12.75">
      <c r="B53" s="15"/>
      <c r="C53" s="16"/>
      <c r="D53" s="16"/>
      <c r="E53" s="17" t="s">
        <v>62</v>
      </c>
      <c r="F53" s="21">
        <v>0</v>
      </c>
      <c r="G53" s="22" t="s">
        <v>56</v>
      </c>
      <c r="H53" s="21">
        <f>-C34*(C27+C28-C29)</f>
        <v>-76</v>
      </c>
      <c r="I53" s="22" t="s">
        <v>56</v>
      </c>
      <c r="J53" s="21">
        <f>-H53*((dprime/2+e0+d)-R25)</f>
        <v>28.5</v>
      </c>
      <c r="K53" s="22" t="s">
        <v>57</v>
      </c>
      <c r="N53" s="90">
        <f t="shared" si="0"/>
      </c>
      <c r="O53" s="100">
        <v>35</v>
      </c>
      <c r="P53" s="101">
        <v>46</v>
      </c>
      <c r="Q53" s="101">
        <v>41.1</v>
      </c>
      <c r="R53" s="102">
        <v>33.3</v>
      </c>
    </row>
    <row r="54" spans="2:18" ht="12.75">
      <c r="B54" s="6"/>
      <c r="C54" s="7"/>
      <c r="D54" s="7"/>
      <c r="E54" s="20" t="s">
        <v>63</v>
      </c>
      <c r="F54" s="9">
        <f>-G26*C24*G23*0.5*C24</f>
        <v>-93.89297339020099</v>
      </c>
      <c r="G54" s="8" t="s">
        <v>56</v>
      </c>
      <c r="H54" s="9">
        <v>0</v>
      </c>
      <c r="I54" s="8" t="s">
        <v>56</v>
      </c>
      <c r="J54" s="9">
        <f>F54*C24/3</f>
        <v>-158.6791250294397</v>
      </c>
      <c r="K54" s="8" t="s">
        <v>57</v>
      </c>
      <c r="N54" s="90">
        <f t="shared" si="0"/>
      </c>
      <c r="O54" s="100">
        <v>40</v>
      </c>
      <c r="P54" s="101">
        <v>75.3</v>
      </c>
      <c r="Q54" s="101">
        <v>100</v>
      </c>
      <c r="R54" s="102">
        <v>64.2</v>
      </c>
    </row>
    <row r="55" spans="2:18" ht="13.5" thickBot="1">
      <c r="B55" s="6"/>
      <c r="C55" s="7"/>
      <c r="D55" s="7"/>
      <c r="E55" s="20" t="s">
        <v>64</v>
      </c>
      <c r="F55" s="9">
        <f>IF(A32,C25*G23*C25/2,0)</f>
        <v>0</v>
      </c>
      <c r="G55" s="8" t="s">
        <v>56</v>
      </c>
      <c r="H55" s="9">
        <v>0</v>
      </c>
      <c r="I55" s="8" t="s">
        <v>56</v>
      </c>
      <c r="J55" s="9">
        <f>F55*C25/3</f>
        <v>0</v>
      </c>
      <c r="K55" s="8" t="s">
        <v>57</v>
      </c>
      <c r="N55" s="90"/>
      <c r="O55" s="108">
        <v>45</v>
      </c>
      <c r="P55" s="109">
        <v>134</v>
      </c>
      <c r="Q55" s="109">
        <v>254</v>
      </c>
      <c r="R55" s="110">
        <v>135</v>
      </c>
    </row>
    <row r="56" spans="2:14" ht="13.5" thickBot="1">
      <c r="B56" s="18"/>
      <c r="C56" s="12"/>
      <c r="D56" s="12"/>
      <c r="E56" s="19" t="s">
        <v>65</v>
      </c>
      <c r="F56" s="11">
        <f>-G26*C34*C24</f>
        <v>-41.1540536446202</v>
      </c>
      <c r="G56" s="14" t="s">
        <v>56</v>
      </c>
      <c r="H56" s="11">
        <v>0</v>
      </c>
      <c r="I56" s="14" t="s">
        <v>56</v>
      </c>
      <c r="J56" s="11">
        <f>F56*C24/2</f>
        <v>-104.32552598911221</v>
      </c>
      <c r="K56" s="14" t="s">
        <v>57</v>
      </c>
      <c r="N56" s="90"/>
    </row>
    <row r="57" spans="2:14" ht="12" customHeight="1">
      <c r="B57" s="15"/>
      <c r="C57" s="16"/>
      <c r="D57" s="16"/>
      <c r="E57" s="17" t="s">
        <v>168</v>
      </c>
      <c r="F57" s="21">
        <f>-0.5*(R67+R68)*(R65-MAX(R66,0))</f>
        <v>0</v>
      </c>
      <c r="G57" s="22" t="s">
        <v>56</v>
      </c>
      <c r="H57" s="21">
        <f>IF($C$37&gt;=($C$28+$C$27),0,-$C$38)</f>
        <v>0</v>
      </c>
      <c r="I57" s="22" t="s">
        <v>56</v>
      </c>
      <c r="J57" s="21">
        <f>IF(F57=0,0,F57*T67)</f>
        <v>0</v>
      </c>
      <c r="K57" s="22" t="s">
        <v>57</v>
      </c>
      <c r="N57" s="90">
        <f>IF(O55=$G$34,1,"")</f>
      </c>
    </row>
    <row r="58" spans="2:23" ht="13.5" thickBot="1">
      <c r="B58" s="18"/>
      <c r="C58" s="12"/>
      <c r="D58" s="12"/>
      <c r="E58" s="19" t="s">
        <v>169</v>
      </c>
      <c r="F58" s="11">
        <f>-(P67+P68)/2*(P65-MAX(0,P66))</f>
        <v>0</v>
      </c>
      <c r="G58" s="14" t="s">
        <v>56</v>
      </c>
      <c r="H58" s="11">
        <f>IF(($C$37+3.44)&gt;=($C$28+$C$27),0,-$C$38)</f>
        <v>0</v>
      </c>
      <c r="I58" s="14" t="s">
        <v>56</v>
      </c>
      <c r="J58" s="11">
        <f>IF(F58=0,0,F58*T68)</f>
        <v>0</v>
      </c>
      <c r="K58" s="14" t="s">
        <v>57</v>
      </c>
      <c r="N58" s="111" t="s">
        <v>66</v>
      </c>
      <c r="O58" s="90" t="s">
        <v>67</v>
      </c>
      <c r="P58" s="94">
        <f>$C$24-(($C$37+V60)*TAN($G$24*PI()/180))</f>
        <v>4.137384683690003</v>
      </c>
      <c r="Q58" s="89" t="s">
        <v>68</v>
      </c>
      <c r="R58" s="94">
        <f>$C$24-($C$37)*TAN($G$24*PI()/180)</f>
        <v>4.603692341845002</v>
      </c>
      <c r="S58" s="89" t="s">
        <v>69</v>
      </c>
      <c r="T58" s="96">
        <f>IF(C38=0,0,(($R$58-MAX($C$25,$R$59))/3*(($R$62+2*$R$60)/($R$62+$R$60)))+MAX($C$25,$R$59))</f>
        <v>0</v>
      </c>
      <c r="U58" s="89" t="s">
        <v>70</v>
      </c>
      <c r="V58" s="88">
        <f>C38+C39</f>
        <v>0</v>
      </c>
      <c r="W58" s="88" t="s">
        <v>56</v>
      </c>
    </row>
    <row r="59" spans="7:23" ht="12.75">
      <c r="G59" s="2"/>
      <c r="H59" s="86"/>
      <c r="I59" s="87"/>
      <c r="N59" s="89" t="s">
        <v>71</v>
      </c>
      <c r="O59" s="90" t="s">
        <v>72</v>
      </c>
      <c r="P59" s="94">
        <f>$C$24-($C$37+V60)*TAN(PI()/4+0.5*$G$24*PI()/180)</f>
        <v>1.9306288457650198</v>
      </c>
      <c r="Q59" s="89" t="s">
        <v>73</v>
      </c>
      <c r="R59" s="94">
        <f>$C$24-($C$37)*TAN(PI()/4+0.5*$G$24*PI()/180)</f>
        <v>3.50031442288251</v>
      </c>
      <c r="S59" s="89" t="s">
        <v>74</v>
      </c>
      <c r="T59" s="96">
        <f>IF(C39=0,0,($P$58-MAX($C$25,$P$59))/3*(($P$62+2*$P$60)/($P$62+$P$60))+MAX($C$25,$P$59))</f>
        <v>0</v>
      </c>
      <c r="U59" s="89" t="s">
        <v>75</v>
      </c>
      <c r="V59" s="88">
        <v>1</v>
      </c>
      <c r="W59" s="88" t="s">
        <v>2</v>
      </c>
    </row>
    <row r="60" spans="4:23" ht="13.5" thickBot="1">
      <c r="D60" s="2" t="s">
        <v>76</v>
      </c>
      <c r="O60" s="90" t="s">
        <v>77</v>
      </c>
      <c r="P60" s="112">
        <f>2*$C$39*TAN(PI()/4-0.5*$G$24*PI()/180)/(($C$37+V60)*TAN(PI()/4+0.5*$G$24*PI()/180)-($C$37+V60)*TAN($G$24*PI()/180))</f>
        <v>0</v>
      </c>
      <c r="Q60" s="89" t="s">
        <v>78</v>
      </c>
      <c r="R60" s="94">
        <f>2*$C$38*TAN(PI()/4-0.5*$G$24*PI()/180)/(($C$37)*TAN(PI()/4+0.5*$G$24*PI()/180)-($C$37)*TAN($G$24*PI()/180))</f>
        <v>0</v>
      </c>
      <c r="S60" s="89"/>
      <c r="T60" s="96"/>
      <c r="U60" s="89" t="s">
        <v>79</v>
      </c>
      <c r="V60" s="91">
        <f>C36</f>
        <v>1</v>
      </c>
      <c r="W60" s="88" t="s">
        <v>2</v>
      </c>
    </row>
    <row r="61" spans="2:20" ht="12.75">
      <c r="B61" s="15"/>
      <c r="C61" s="16"/>
      <c r="D61" s="16"/>
      <c r="E61" s="17" t="s">
        <v>80</v>
      </c>
      <c r="F61" s="21">
        <f>-G26*G23*(C24-C25)^2/2</f>
        <v>-77.9652588117365</v>
      </c>
      <c r="G61" s="22" t="s">
        <v>56</v>
      </c>
      <c r="H61" s="21">
        <v>0</v>
      </c>
      <c r="I61" s="22" t="s">
        <v>56</v>
      </c>
      <c r="J61" s="21">
        <f>F61*((C24-C25)/3)</f>
        <v>-120.06649857007422</v>
      </c>
      <c r="K61" s="22" t="s">
        <v>57</v>
      </c>
      <c r="P61" s="112"/>
      <c r="Q61" s="89"/>
      <c r="R61" s="112"/>
      <c r="S61" s="89"/>
      <c r="T61" s="96"/>
    </row>
    <row r="62" spans="2:18" ht="13.5" thickBot="1">
      <c r="B62" s="18"/>
      <c r="C62" s="12"/>
      <c r="D62" s="12"/>
      <c r="E62" s="19" t="s">
        <v>65</v>
      </c>
      <c r="F62" s="11">
        <f>-G26*C34*(C24-C25)</f>
        <v>-37.50132698977225</v>
      </c>
      <c r="G62" s="14" t="s">
        <v>56</v>
      </c>
      <c r="H62" s="11">
        <v>0</v>
      </c>
      <c r="I62" s="14" t="s">
        <v>56</v>
      </c>
      <c r="J62" s="11">
        <f>F62*((C24-C25)/2)</f>
        <v>-86.6280653463739</v>
      </c>
      <c r="K62" s="14" t="s">
        <v>57</v>
      </c>
      <c r="O62" s="90" t="s">
        <v>81</v>
      </c>
      <c r="P62" s="112">
        <f>MAX(0,$P$60-(($P$60/ABS((($C$37+V60-0.5)*TAN(PI()/4+0.5*$G$24*PI()/180)-($C$37+V60-0.5)*TAN($G$24*PI()/180))))*($P$58-MAX($C$25,$P$59))))</f>
        <v>0</v>
      </c>
      <c r="Q62" s="89" t="s">
        <v>82</v>
      </c>
      <c r="R62" s="112">
        <f>MAX(0,$R$60-(($R$60/ABS((($C$37)*TAN(PI()/4+0.5*$G$24*PI()/180)-($C$37)*TAN($G$24*PI()/180))))*($R$58-MAX($C$25,$R$59))))</f>
        <v>0</v>
      </c>
    </row>
    <row r="63" spans="2:21" ht="12.75">
      <c r="B63" s="15"/>
      <c r="C63" s="16"/>
      <c r="D63" s="16"/>
      <c r="E63" s="17" t="s">
        <v>168</v>
      </c>
      <c r="F63" s="21">
        <f>-0.5*(R60+R62)*(R58-MAX(C25,R59))</f>
        <v>0</v>
      </c>
      <c r="G63" s="22" t="s">
        <v>56</v>
      </c>
      <c r="H63" s="21">
        <v>0</v>
      </c>
      <c r="I63" s="22" t="s">
        <v>56</v>
      </c>
      <c r="J63" s="21">
        <f>IF(F63=0,0,F63*T58)</f>
        <v>0</v>
      </c>
      <c r="K63" s="22" t="s">
        <v>57</v>
      </c>
      <c r="N63" s="89"/>
      <c r="U63" s="119" t="s">
        <v>83</v>
      </c>
    </row>
    <row r="64" spans="2:23" ht="13.5" thickBot="1">
      <c r="B64" s="18"/>
      <c r="C64" s="12"/>
      <c r="D64" s="12"/>
      <c r="E64" s="19" t="s">
        <v>169</v>
      </c>
      <c r="F64" s="11">
        <f>-(P60+P62)/2*(P58-MAX(C25,P59))</f>
        <v>0</v>
      </c>
      <c r="G64" s="14" t="s">
        <v>56</v>
      </c>
      <c r="H64" s="11">
        <v>0</v>
      </c>
      <c r="I64" s="14" t="s">
        <v>56</v>
      </c>
      <c r="J64" s="13">
        <f>IF(F64=0,0,F64*T59)</f>
        <v>0</v>
      </c>
      <c r="K64" s="14" t="s">
        <v>57</v>
      </c>
      <c r="O64" s="113"/>
      <c r="P64" s="95"/>
      <c r="U64" s="89" t="s">
        <v>84</v>
      </c>
      <c r="V64" s="91">
        <f>2*(C24-C25)*TAN(G24*PI()/180)</f>
        <v>4.308682761352187</v>
      </c>
      <c r="W64" s="88" t="s">
        <v>2</v>
      </c>
    </row>
    <row r="65" spans="14:23" ht="12.75">
      <c r="N65" s="111" t="s">
        <v>66</v>
      </c>
      <c r="O65" s="90" t="s">
        <v>67</v>
      </c>
      <c r="P65" s="94">
        <f>C24-((C37+V60-C28-C27)*TAN(G24*PI()/180))</f>
        <v>6.119192230848747</v>
      </c>
      <c r="Q65" s="89" t="s">
        <v>68</v>
      </c>
      <c r="R65" s="94">
        <f>C24-(C37-C28-C27)*TAN(G24*PI()/180)</f>
        <v>6.585499889003746</v>
      </c>
      <c r="S65" s="89"/>
      <c r="T65" s="96"/>
      <c r="U65" s="89" t="s">
        <v>85</v>
      </c>
      <c r="V65" s="120">
        <f>(V58/V59)/V64</f>
        <v>0</v>
      </c>
      <c r="W65" s="88" t="s">
        <v>41</v>
      </c>
    </row>
    <row r="66" spans="1:20" ht="16.5" thickBot="1">
      <c r="A66" s="4" t="s">
        <v>86</v>
      </c>
      <c r="N66" s="89" t="s">
        <v>87</v>
      </c>
      <c r="O66" s="90" t="s">
        <v>72</v>
      </c>
      <c r="P66" s="94">
        <f>C24-(C37+V60-C28-C27)*TAN(PI()/4+0.5*G24*PI()/180)</f>
        <v>8.601792548514354</v>
      </c>
      <c r="Q66" s="89" t="s">
        <v>73</v>
      </c>
      <c r="R66" s="94">
        <f>C24-(C37-C28-C27)*TAN(PI()/4+0.5*G24*PI()/180)</f>
        <v>10.171478125631843</v>
      </c>
      <c r="S66" s="89"/>
      <c r="T66" s="96"/>
    </row>
    <row r="67" spans="6:20" ht="12.75">
      <c r="F67" s="29" t="s">
        <v>51</v>
      </c>
      <c r="G67" s="30"/>
      <c r="H67" s="29" t="s">
        <v>52</v>
      </c>
      <c r="I67" s="30"/>
      <c r="J67" s="31" t="s">
        <v>88</v>
      </c>
      <c r="K67" s="30"/>
      <c r="O67" s="90" t="s">
        <v>77</v>
      </c>
      <c r="P67" s="112">
        <f>2*C39*TAN(PI()/4-0.5*G24*PI()/180)/((C37+V60-C28-C27)*TAN(PI()/4+0.5*G24*PI()/180)-(C37+V60-C28-C27)*TAN(G24*PI()/180))</f>
        <v>0</v>
      </c>
      <c r="Q67" s="89" t="s">
        <v>78</v>
      </c>
      <c r="R67" s="94">
        <f>2*C38*TAN(PI()/4-0.5*G24*PI()/180)/((C37-C28-C27)*TAN(PI()/4+0.5*G24*PI()/180)-(C37-C28-C27)*TAN(G24*PI()/180))</f>
        <v>0</v>
      </c>
      <c r="S67" s="89" t="s">
        <v>89</v>
      </c>
      <c r="T67" s="96" t="e">
        <f>(($R$65-MAX(0,$R$66))/3*(($R$68+2*$R$67)/($R$68+$R$67)))+MAX(0,$R$66)</f>
        <v>#DIV/0!</v>
      </c>
    </row>
    <row r="68" spans="4:20" ht="13.5" thickBot="1">
      <c r="D68" s="2" t="s">
        <v>90</v>
      </c>
      <c r="F68" s="6"/>
      <c r="G68" s="8"/>
      <c r="H68" s="6"/>
      <c r="I68" s="8"/>
      <c r="J68" s="7"/>
      <c r="K68" s="8"/>
      <c r="O68" s="90" t="s">
        <v>91</v>
      </c>
      <c r="P68" s="112">
        <f>MAX(0,P67-((P67/ABS(((C37+V60-C28-C27)*TAN(PI()/4+0.5*G24*PI()/180)-(C37+V60-C28-C27)*TAN(G24*PI()/180))))*(P65-MAX(0,P66))))</f>
        <v>0</v>
      </c>
      <c r="Q68" s="89" t="s">
        <v>92</v>
      </c>
      <c r="R68" s="112">
        <f>MAX(0,R67-((R67/ABS(((C37-C28-C27)*TAN(PI()/4+0.5*G24*PI()/180)-(C37-C28-C27)*TAN(G24*PI()/180))))*(R65-MAX(0,R66))))</f>
        <v>0</v>
      </c>
      <c r="S68" s="89" t="s">
        <v>93</v>
      </c>
      <c r="T68" s="96" t="e">
        <f>($P$65-MAX(0,$P$66))/3*(($P$68+2*$P$67)/($P$68+$P$67))+MAX(0,$P$66)</f>
        <v>#DIV/0!</v>
      </c>
    </row>
    <row r="69" spans="2:18" ht="12.75">
      <c r="B69" s="15"/>
      <c r="C69" s="16"/>
      <c r="D69" s="16"/>
      <c r="E69" s="17" t="s">
        <v>170</v>
      </c>
      <c r="F69" s="21">
        <f>F48+F49+F55+1.35*F50+1.35*F54+1.5*(F53+F56)</f>
        <v>-188.48659454370164</v>
      </c>
      <c r="G69" s="22" t="s">
        <v>56</v>
      </c>
      <c r="H69" s="21">
        <f>H48+H49+H55+1.35*H50+1.35*H54+1.5*(H53+H56)</f>
        <v>-641.3432999999999</v>
      </c>
      <c r="I69" s="22" t="s">
        <v>56</v>
      </c>
      <c r="J69" s="21">
        <f>J48+J49+J55+1.35*J50+1.35*J54+1.5*(J53+J56)</f>
        <v>-253.76855777341189</v>
      </c>
      <c r="K69" s="22" t="s">
        <v>57</v>
      </c>
      <c r="L69" s="32" t="s">
        <v>94</v>
      </c>
      <c r="P69" s="112"/>
      <c r="Q69" s="89"/>
      <c r="R69" s="112"/>
    </row>
    <row r="70" spans="2:12" ht="13.5" thickBot="1">
      <c r="B70" s="18"/>
      <c r="C70" s="12"/>
      <c r="D70" s="12"/>
      <c r="E70" s="19" t="s">
        <v>95</v>
      </c>
      <c r="F70" s="11">
        <f>F48+F49+F55+1.35*F50+1.35*F54</f>
        <v>-126.75551407677135</v>
      </c>
      <c r="G70" s="14" t="s">
        <v>56</v>
      </c>
      <c r="H70" s="11">
        <f>H48+H49+H55+1.35*H50+1.35*H54</f>
        <v>-527.3432999999999</v>
      </c>
      <c r="I70" s="14" t="s">
        <v>56</v>
      </c>
      <c r="J70" s="11">
        <f>J48+J49+J55+1.35*J50+1.35*J54</f>
        <v>-140.0302687897436</v>
      </c>
      <c r="K70" s="14" t="s">
        <v>57</v>
      </c>
      <c r="L70" s="32" t="s">
        <v>96</v>
      </c>
    </row>
    <row r="71" spans="2:12" ht="13.5" thickBot="1">
      <c r="B71" s="23"/>
      <c r="C71" s="24"/>
      <c r="D71" s="24"/>
      <c r="E71" s="121" t="s">
        <v>171</v>
      </c>
      <c r="F71" s="26">
        <f>F48+F49+F55+1.35*F50+1.35*F54+1.5*(F57+F58)+O64</f>
        <v>-126.75551407677135</v>
      </c>
      <c r="G71" s="27" t="s">
        <v>56</v>
      </c>
      <c r="H71" s="26">
        <f>H48+H49+H55+1.35*H50+1.35*H54+1.5*(H57+H58)+Q64</f>
        <v>-527.3432999999999</v>
      </c>
      <c r="I71" s="27" t="s">
        <v>56</v>
      </c>
      <c r="J71" s="26">
        <f>J48+J49+J55+1.35*J50+1.35*J54+1.5*(J57+J58)+S64</f>
        <v>-140.0302687897436</v>
      </c>
      <c r="K71" s="27" t="s">
        <v>57</v>
      </c>
      <c r="L71" s="32" t="s">
        <v>97</v>
      </c>
    </row>
    <row r="72" ht="13.5" thickBot="1">
      <c r="D72" s="2" t="s">
        <v>98</v>
      </c>
    </row>
    <row r="73" spans="2:12" ht="13.5" thickBot="1">
      <c r="B73" s="23"/>
      <c r="C73" s="24"/>
      <c r="D73" s="24"/>
      <c r="E73" s="25" t="s">
        <v>172</v>
      </c>
      <c r="F73" s="26">
        <f>F48+F49+F55+F50+F53+F54+F56</f>
        <v>-135.04702703482118</v>
      </c>
      <c r="G73" s="27" t="s">
        <v>56</v>
      </c>
      <c r="H73" s="26">
        <f>H48+H49+H55+H50+H53+H54+H56</f>
        <v>-492.7404999999999</v>
      </c>
      <c r="I73" s="27" t="s">
        <v>56</v>
      </c>
      <c r="J73" s="26">
        <f>J48+J49+J55+J50+J53+J54+J56</f>
        <v>-201.7941510185519</v>
      </c>
      <c r="K73" s="27" t="s">
        <v>57</v>
      </c>
      <c r="L73" s="32" t="s">
        <v>99</v>
      </c>
    </row>
    <row r="74" spans="2:12" ht="13.5" thickBot="1">
      <c r="B74" s="23"/>
      <c r="C74" s="24"/>
      <c r="D74" s="24"/>
      <c r="E74" s="25" t="s">
        <v>173</v>
      </c>
      <c r="F74" s="26">
        <f>F48+F49+F55+F50+F54+F57+F58</f>
        <v>-93.89297339020099</v>
      </c>
      <c r="G74" s="27" t="s">
        <v>56</v>
      </c>
      <c r="H74" s="26">
        <f>H48+H49+H55+H50+H54+H57+H58</f>
        <v>-416.7404999999999</v>
      </c>
      <c r="I74" s="27" t="s">
        <v>56</v>
      </c>
      <c r="J74" s="26">
        <f>J48+J49+J55+J50+J54+J57+J58</f>
        <v>-125.96862502943969</v>
      </c>
      <c r="K74" s="27" t="s">
        <v>57</v>
      </c>
      <c r="L74" s="32" t="s">
        <v>100</v>
      </c>
    </row>
    <row r="75" spans="2:12" ht="12.75">
      <c r="B75" s="7"/>
      <c r="C75" s="7"/>
      <c r="D75" s="7"/>
      <c r="E75" s="73"/>
      <c r="F75" s="10"/>
      <c r="G75" s="7"/>
      <c r="H75" s="10"/>
      <c r="I75" s="7"/>
      <c r="J75" s="10"/>
      <c r="K75" s="7"/>
      <c r="L75" s="32"/>
    </row>
    <row r="76" ht="16.5" thickBot="1">
      <c r="A76" s="4" t="s">
        <v>101</v>
      </c>
    </row>
    <row r="77" spans="1:11" ht="12.75">
      <c r="A77" t="s">
        <v>102</v>
      </c>
      <c r="F77" s="29" t="s">
        <v>51</v>
      </c>
      <c r="G77" s="30"/>
      <c r="H77" s="29" t="s">
        <v>52</v>
      </c>
      <c r="I77" s="30"/>
      <c r="J77" s="29" t="s">
        <v>88</v>
      </c>
      <c r="K77" s="30"/>
    </row>
    <row r="78" spans="4:11" ht="13.5" thickBot="1">
      <c r="D78" s="2" t="s">
        <v>90</v>
      </c>
      <c r="F78" s="18"/>
      <c r="G78" s="14"/>
      <c r="H78" s="18"/>
      <c r="I78" s="14"/>
      <c r="J78" s="18"/>
      <c r="K78" s="14"/>
    </row>
    <row r="79" spans="2:12" ht="13.5" thickBot="1">
      <c r="B79" s="23"/>
      <c r="C79" s="24"/>
      <c r="D79" s="24"/>
      <c r="E79" s="25" t="s">
        <v>170</v>
      </c>
      <c r="F79" s="26">
        <f>1.35*(F61)+1.5*(F62)</f>
        <v>-161.50508988050268</v>
      </c>
      <c r="G79" s="27" t="s">
        <v>56</v>
      </c>
      <c r="H79" s="26">
        <f>1.35*(H61)+1.5*(H62)</f>
        <v>0</v>
      </c>
      <c r="I79" s="27" t="s">
        <v>56</v>
      </c>
      <c r="J79" s="26">
        <f>1.35*(J61)+1.5*(J62)</f>
        <v>-292.0318710891611</v>
      </c>
      <c r="K79" s="27" t="s">
        <v>57</v>
      </c>
      <c r="L79" s="32" t="s">
        <v>103</v>
      </c>
    </row>
    <row r="80" spans="2:12" ht="13.5" thickBot="1">
      <c r="B80" s="23"/>
      <c r="C80" s="24"/>
      <c r="D80" s="24"/>
      <c r="E80" s="121" t="s">
        <v>171</v>
      </c>
      <c r="F80" s="26">
        <f>1.35*(F61)+1.5*(F63+F64)</f>
        <v>-105.25309939584429</v>
      </c>
      <c r="G80" s="27" t="s">
        <v>56</v>
      </c>
      <c r="H80" s="26">
        <f>1.35*(H61)+1.5*(H63+H64)</f>
        <v>0</v>
      </c>
      <c r="I80" s="27" t="s">
        <v>56</v>
      </c>
      <c r="J80" s="26">
        <f>1.35*(J61)+1.5*(J63+J64)</f>
        <v>-162.0897730696002</v>
      </c>
      <c r="K80" s="27" t="s">
        <v>57</v>
      </c>
      <c r="L80" s="32" t="s">
        <v>104</v>
      </c>
    </row>
    <row r="81" ht="13.5" thickBot="1">
      <c r="D81" s="2" t="s">
        <v>98</v>
      </c>
    </row>
    <row r="82" spans="2:12" ht="13.5" thickBot="1">
      <c r="B82" s="23"/>
      <c r="C82" s="24"/>
      <c r="D82" s="24"/>
      <c r="E82" s="25" t="s">
        <v>172</v>
      </c>
      <c r="F82" s="26">
        <f>F61+F62</f>
        <v>-115.46658580150876</v>
      </c>
      <c r="G82" s="27" t="s">
        <v>56</v>
      </c>
      <c r="H82" s="26">
        <f>H61+H62</f>
        <v>0</v>
      </c>
      <c r="I82" s="27" t="s">
        <v>56</v>
      </c>
      <c r="J82" s="26">
        <f>J61+J62</f>
        <v>-206.69456391644812</v>
      </c>
      <c r="K82" s="27" t="s">
        <v>57</v>
      </c>
      <c r="L82" s="32" t="s">
        <v>105</v>
      </c>
    </row>
    <row r="83" spans="2:12" ht="13.5" thickBot="1">
      <c r="B83" s="23"/>
      <c r="C83" s="24"/>
      <c r="D83" s="24"/>
      <c r="E83" s="25" t="s">
        <v>173</v>
      </c>
      <c r="F83" s="26">
        <f>F61+F63+F64</f>
        <v>-77.9652588117365</v>
      </c>
      <c r="G83" s="27" t="s">
        <v>56</v>
      </c>
      <c r="H83" s="26">
        <f>H61+H63+H64</f>
        <v>0</v>
      </c>
      <c r="I83" s="27" t="s">
        <v>56</v>
      </c>
      <c r="J83" s="26">
        <f>J61+J63+J64</f>
        <v>-120.06649857007422</v>
      </c>
      <c r="K83" s="27" t="s">
        <v>57</v>
      </c>
      <c r="L83" s="32" t="s">
        <v>106</v>
      </c>
    </row>
    <row r="85" ht="15.75">
      <c r="A85" s="4" t="s">
        <v>107</v>
      </c>
    </row>
    <row r="90" spans="4:10" ht="18.75">
      <c r="D90" s="148" t="s">
        <v>108</v>
      </c>
      <c r="I90" s="89" t="s">
        <v>109</v>
      </c>
      <c r="J90" s="154">
        <v>1.5</v>
      </c>
    </row>
    <row r="92" ht="13.5" thickBot="1"/>
    <row r="93" spans="6:11" ht="14.25">
      <c r="F93" s="122" t="s">
        <v>51</v>
      </c>
      <c r="G93" s="123"/>
      <c r="H93" s="122" t="s">
        <v>110</v>
      </c>
      <c r="I93" s="123"/>
      <c r="J93" s="137" t="s">
        <v>111</v>
      </c>
      <c r="K93" s="88"/>
    </row>
    <row r="94" spans="6:11" ht="13.5" thickBot="1">
      <c r="F94" s="103"/>
      <c r="G94" s="104"/>
      <c r="H94" s="103"/>
      <c r="I94" s="104"/>
      <c r="J94" s="136"/>
      <c r="K94" s="88"/>
    </row>
    <row r="95" spans="1:12" ht="12.75">
      <c r="A95" s="88"/>
      <c r="B95" s="88"/>
      <c r="C95" s="88"/>
      <c r="D95" s="88"/>
      <c r="E95" s="88" t="s">
        <v>112</v>
      </c>
      <c r="F95" s="106">
        <f>ABS(F73)</f>
        <v>135.04702703482118</v>
      </c>
      <c r="G95" s="107" t="s">
        <v>56</v>
      </c>
      <c r="H95" s="106">
        <f>ABS(H73*TAN($G$34*3.141592/180))</f>
        <v>284.4837887489327</v>
      </c>
      <c r="I95" s="107" t="s">
        <v>56</v>
      </c>
      <c r="J95" s="138">
        <f>H95/F95</f>
        <v>2.1065535095088026</v>
      </c>
      <c r="K95" s="161" t="str">
        <f>IF(J95&gt;=$J$90,"OK","mauvais")</f>
        <v>OK</v>
      </c>
      <c r="L95" s="119" t="s">
        <v>99</v>
      </c>
    </row>
    <row r="96" spans="1:12" ht="13.5" thickBot="1">
      <c r="A96" s="88"/>
      <c r="B96" s="88"/>
      <c r="C96" s="88"/>
      <c r="D96" s="88"/>
      <c r="E96" s="88"/>
      <c r="F96" s="105">
        <f>ABS(F74)</f>
        <v>93.89297339020099</v>
      </c>
      <c r="G96" s="104" t="s">
        <v>56</v>
      </c>
      <c r="H96" s="105">
        <f>ABS(H74*TAN($G$34*3.141592/180))</f>
        <v>240.60517932892583</v>
      </c>
      <c r="I96" s="104" t="s">
        <v>56</v>
      </c>
      <c r="J96" s="139">
        <f>H96/F96</f>
        <v>2.562547234807629</v>
      </c>
      <c r="K96" s="161" t="str">
        <f>IF(J96&gt;=$J$90,"OK","mauvais")</f>
        <v>OK</v>
      </c>
      <c r="L96" s="119" t="s">
        <v>100</v>
      </c>
    </row>
    <row r="100" ht="18.75">
      <c r="D100" s="148" t="s">
        <v>113</v>
      </c>
    </row>
    <row r="101" ht="12.75">
      <c r="D101" t="s">
        <v>114</v>
      </c>
    </row>
    <row r="102" ht="12.75">
      <c r="D102" t="s">
        <v>115</v>
      </c>
    </row>
    <row r="103" spans="4:12" ht="12.75">
      <c r="D103" s="2"/>
      <c r="E103" t="s">
        <v>116</v>
      </c>
      <c r="H103" s="5">
        <f>MIN(($C$26+$C$27+$C$28),3*(0.5*($C$26+$C$27+$C$28)-ABS(J69/H69)))</f>
        <v>4.55</v>
      </c>
      <c r="I103" t="s">
        <v>117</v>
      </c>
      <c r="J103" s="28">
        <f>MIN(100,H103/($C$26+$C$27+$C$28)*100)</f>
        <v>100</v>
      </c>
      <c r="K103" s="162" t="str">
        <f>IF(J103&gt;10,"%  OK","% NON")</f>
        <v>%  OK</v>
      </c>
      <c r="L103" s="32" t="s">
        <v>94</v>
      </c>
    </row>
    <row r="104" spans="8:12" ht="13.5" customHeight="1">
      <c r="H104" s="5">
        <f>MIN(($C$26+$C$27+$C$28),3*(0.5*($C$26+$C$27+$C$28)-ABS(J70/H70)))</f>
        <v>4.55</v>
      </c>
      <c r="I104" t="s">
        <v>117</v>
      </c>
      <c r="J104" s="28">
        <f>MIN(100,H104/($C$26+$C$27+$C$28)*100)</f>
        <v>100</v>
      </c>
      <c r="K104" s="162" t="str">
        <f>IF(J104&gt;10,"%  OK","% NON")</f>
        <v>%  OK</v>
      </c>
      <c r="L104" s="32" t="s">
        <v>96</v>
      </c>
    </row>
    <row r="105" spans="8:12" ht="13.5" customHeight="1">
      <c r="H105" s="5">
        <f>MIN(($C$26+$C$27+$C$28),3*(0.5*($C$26+$C$27+$C$28)-ABS(J71/H71)))</f>
        <v>4.55</v>
      </c>
      <c r="I105" t="s">
        <v>117</v>
      </c>
      <c r="J105" s="28">
        <f>MIN(100,H105/($C$26+$C$27+$C$28)*100)</f>
        <v>100</v>
      </c>
      <c r="K105" s="162" t="str">
        <f>IF(J105&gt;10,"%  OK","% NON")</f>
        <v>%  OK</v>
      </c>
      <c r="L105" s="32" t="s">
        <v>97</v>
      </c>
    </row>
    <row r="106" spans="7:12" ht="13.5" customHeight="1">
      <c r="G106" t="s">
        <v>112</v>
      </c>
      <c r="H106" s="5">
        <f>MIN(($C$26+$C$27+$C$28),3*(0.5*($C$26+$C$27+$C$28)-ABS(J73/H73)))</f>
        <v>4.55</v>
      </c>
      <c r="I106" t="s">
        <v>117</v>
      </c>
      <c r="J106" s="28">
        <f>MIN(100,H106/($C$26+$C$27+$C$28)*100)</f>
        <v>100</v>
      </c>
      <c r="K106" s="162" t="str">
        <f>IF(J106&gt;75,"%  OK","% NON")</f>
        <v>%  OK</v>
      </c>
      <c r="L106" s="32" t="s">
        <v>99</v>
      </c>
    </row>
    <row r="107" spans="7:12" ht="13.5" customHeight="1">
      <c r="G107" t="s">
        <v>112</v>
      </c>
      <c r="H107" s="5">
        <f>MIN(($C$26+$C$27+$C$28),3*(0.5*($C$26+$C$27+$C$28)-ABS(J74/H74)))</f>
        <v>4.55</v>
      </c>
      <c r="I107" t="s">
        <v>117</v>
      </c>
      <c r="J107" s="28">
        <f>MIN(100,H107/($C$26+$C$27+$C$28)*100)</f>
        <v>100</v>
      </c>
      <c r="K107" s="162" t="str">
        <f>IF(J107&gt;75,"%  OK","% NON")</f>
        <v>%  OK</v>
      </c>
      <c r="L107" s="32" t="s">
        <v>100</v>
      </c>
    </row>
    <row r="108" spans="8:12" ht="13.5" thickBot="1">
      <c r="H108" s="5"/>
      <c r="L108" s="32"/>
    </row>
    <row r="109" spans="4:12" ht="15" thickBot="1">
      <c r="D109" s="142" t="s">
        <v>164</v>
      </c>
      <c r="E109" s="65" t="s">
        <v>118</v>
      </c>
      <c r="F109" s="66" t="s">
        <v>119</v>
      </c>
      <c r="G109" s="64" t="s">
        <v>120</v>
      </c>
      <c r="H109" s="5"/>
      <c r="L109" s="32"/>
    </row>
    <row r="110" spans="4:12" ht="13.5" customHeight="1">
      <c r="D110" s="44" t="s">
        <v>165</v>
      </c>
      <c r="E110" s="67" t="s">
        <v>94</v>
      </c>
      <c r="F110" s="75">
        <f>IF(3*$J$69/ABS($H$69)&lt;0.5*($C$26+$C$27+$C$28),ABS($H$69)/$H$103*(1+6*(ABS(($J$69/$H$69))/($C$26+$C$27+$C$28))),2*ABS($H$69)/$H$103)</f>
        <v>214.50179261637342</v>
      </c>
      <c r="G110" s="114">
        <f>IF(3*ABS($J$69/$H$69)&lt;0.5*($C$26+$C$27+$C$28),ABS($H$69)/$H$103*(1-6*((ABS($J$69/$H$69))/($C$26+$C$27+$C$28))),0)</f>
        <v>67.40735024076938</v>
      </c>
      <c r="H110" s="5"/>
      <c r="L110" s="32"/>
    </row>
    <row r="111" spans="4:12" ht="13.5" customHeight="1">
      <c r="D111" s="143" t="s">
        <v>165</v>
      </c>
      <c r="E111" s="76" t="s">
        <v>96</v>
      </c>
      <c r="F111" s="77">
        <f>IF(3*J70/ABS(H70)&lt;0.5*($C$26+$C$27+$C$28),ABS(H70)/H104*(1+6*((ABS(J70/H70))/($C$26+$C$27+$C$28))),2*ABS(H70)/H104)</f>
        <v>156.4832086819689</v>
      </c>
      <c r="G111" s="115">
        <f>IF(3*ABS(J70/H70)&lt;0.5*($C$26+$C$27+$C$28),ABS(H70)/H104*(1-6*((ABS(J70/H70))/($C$26+$C$27+$C$28))),0)</f>
        <v>75.3160440652838</v>
      </c>
      <c r="H111" s="5"/>
      <c r="L111" s="32"/>
    </row>
    <row r="112" spans="4:12" ht="13.5" customHeight="1">
      <c r="D112" s="143" t="s">
        <v>165</v>
      </c>
      <c r="E112" s="76" t="s">
        <v>97</v>
      </c>
      <c r="F112" s="77">
        <f>IF(3*J71/ABS(H71)&lt;0.5*($C$26+$C$27+$C$28),ABS(H71)/H105*(1+6*((ABS(J71/H71))/($C$26+$C$27+$C$28))),2*ABS(H71)/H105)</f>
        <v>156.4832086819689</v>
      </c>
      <c r="G112" s="115">
        <f>IF(3*ABS(J71/H71)&lt;0.5*($C$26+$C$27+$C$28),ABS(H71)/H105*(1-6*((ABS(J71/H71))/($C$26+$C$27+$C$28))),0)</f>
        <v>75.3160440652838</v>
      </c>
      <c r="H112" s="5"/>
      <c r="L112" s="32"/>
    </row>
    <row r="113" spans="4:7" ht="13.5" customHeight="1">
      <c r="D113" s="143" t="s">
        <v>112</v>
      </c>
      <c r="E113" s="76" t="s">
        <v>99</v>
      </c>
      <c r="F113" s="77">
        <f>IF(3*J73/ABS(H73)&lt;0.5*($C$26+$C$27+$C$28),ABS(H73)/H106*(1+6*((ABS(J73/H73))/($C$26+$C$27+$C$28))),2*ABS(H73)/H106)</f>
        <v>166.7786103664442</v>
      </c>
      <c r="G113" s="115">
        <f>IF(3*ABS(J73/H73)&lt;0.5*($C$26+$C$27+$C$28),ABS(H73)/H106*(1-6*((ABS(J73/H73))/($C$26+$C$27+$C$28))),0)</f>
        <v>49.81062040278653</v>
      </c>
    </row>
    <row r="114" spans="4:7" ht="13.5" customHeight="1" thickBot="1">
      <c r="D114" s="46" t="s">
        <v>112</v>
      </c>
      <c r="E114" s="78" t="s">
        <v>100</v>
      </c>
      <c r="F114" s="79">
        <f>IF(3*J74/ABS(H74)&lt;0.5*($C$26+$C$27+$C$28),ABS(H74)/H107*(1+6*((ABS(J74/H74))/($C$26+$C$27+$C$28))),2*ABS(H74)/H107)</f>
        <v>128.0995544101745</v>
      </c>
      <c r="G114" s="116">
        <f>IF(3*ABS(J74/H74)&lt;0.5*($C$26+$C$27+$C$28),ABS(H74)/H107*(1-6*((ABS(J74/H74))/($C$26+$C$27+$C$28))),0)</f>
        <v>55.08308295246281</v>
      </c>
    </row>
    <row r="115" spans="5:7" ht="13.5" customHeight="1">
      <c r="E115" s="71"/>
      <c r="F115" s="7"/>
      <c r="G115" s="7"/>
    </row>
    <row r="116" ht="18.75">
      <c r="D116" s="148" t="s">
        <v>121</v>
      </c>
    </row>
    <row r="117" ht="6.75" customHeight="1"/>
    <row r="118" ht="12.75">
      <c r="B118" t="s">
        <v>122</v>
      </c>
    </row>
    <row r="119" ht="13.5" customHeight="1"/>
    <row r="120" ht="13.5" customHeight="1"/>
    <row r="121" ht="13.5" customHeight="1"/>
    <row r="122" ht="13.5" customHeight="1"/>
    <row r="123" spans="13:18" ht="13.5" customHeight="1" thickBot="1">
      <c r="M123" s="90"/>
      <c r="N123" s="90"/>
      <c r="Q123" s="88"/>
      <c r="R123" s="88"/>
    </row>
    <row r="124" spans="2:18" ht="13.5" thickBot="1">
      <c r="B124" s="144" t="s">
        <v>166</v>
      </c>
      <c r="F124" s="81" t="s">
        <v>94</v>
      </c>
      <c r="G124" s="70"/>
      <c r="H124" s="80" t="s">
        <v>96</v>
      </c>
      <c r="I124" s="70"/>
      <c r="J124" s="80" t="s">
        <v>97</v>
      </c>
      <c r="K124" s="70"/>
      <c r="M124" s="90"/>
      <c r="N124" s="90"/>
      <c r="Q124" s="88"/>
      <c r="R124" s="88"/>
    </row>
    <row r="125" spans="4:18" ht="12.75">
      <c r="D125" s="1" t="s">
        <v>123</v>
      </c>
      <c r="E125" s="73" t="s">
        <v>124</v>
      </c>
      <c r="F125" s="82">
        <f>-H69</f>
        <v>641.3432999999999</v>
      </c>
      <c r="G125" s="22" t="s">
        <v>56</v>
      </c>
      <c r="H125" s="36">
        <f>-H70</f>
        <v>527.3432999999999</v>
      </c>
      <c r="I125" s="22" t="s">
        <v>56</v>
      </c>
      <c r="J125" s="36">
        <f>-H71</f>
        <v>527.3432999999999</v>
      </c>
      <c r="K125" s="22" t="s">
        <v>56</v>
      </c>
      <c r="M125" s="90"/>
      <c r="N125" s="90"/>
      <c r="Q125" s="88"/>
      <c r="R125" s="88"/>
    </row>
    <row r="126" spans="4:18" ht="12.75">
      <c r="D126" s="1" t="s">
        <v>125</v>
      </c>
      <c r="E126" s="73" t="s">
        <v>126</v>
      </c>
      <c r="F126" s="83">
        <f>-F69</f>
        <v>188.48659454370164</v>
      </c>
      <c r="G126" s="8" t="s">
        <v>56</v>
      </c>
      <c r="H126" s="38">
        <f>-F70</f>
        <v>126.75551407677135</v>
      </c>
      <c r="I126" s="8" t="s">
        <v>56</v>
      </c>
      <c r="J126" s="38">
        <f>-F71</f>
        <v>126.75551407677135</v>
      </c>
      <c r="K126" s="8" t="s">
        <v>56</v>
      </c>
      <c r="M126" s="90"/>
      <c r="N126" s="90"/>
      <c r="Q126" s="88"/>
      <c r="R126" s="88"/>
    </row>
    <row r="127" spans="4:18" ht="12.75">
      <c r="D127" s="1" t="s">
        <v>127</v>
      </c>
      <c r="E127" s="60" t="s">
        <v>128</v>
      </c>
      <c r="F127" s="83">
        <f>ATAN(F126/F125)*180/PI()</f>
        <v>16.37771676248021</v>
      </c>
      <c r="G127" s="8" t="s">
        <v>8</v>
      </c>
      <c r="H127" s="38">
        <f>ATAN(H126/H125)*180/PI()</f>
        <v>13.515571540563174</v>
      </c>
      <c r="I127" s="8" t="s">
        <v>8</v>
      </c>
      <c r="J127" s="38">
        <f>ATAN(J126/J125)*180/PI()</f>
        <v>13.515571540563174</v>
      </c>
      <c r="K127" s="8" t="s">
        <v>8</v>
      </c>
      <c r="M127" s="90"/>
      <c r="N127" s="90"/>
      <c r="Q127" s="88"/>
      <c r="R127" s="88"/>
    </row>
    <row r="128" spans="4:18" ht="15.75">
      <c r="D128" s="1" t="s">
        <v>129</v>
      </c>
      <c r="E128" s="73" t="s">
        <v>130</v>
      </c>
      <c r="F128" s="9">
        <f>C31</f>
        <v>0</v>
      </c>
      <c r="G128" s="8" t="s">
        <v>2</v>
      </c>
      <c r="H128" s="10">
        <f>F128</f>
        <v>0</v>
      </c>
      <c r="I128" s="8" t="s">
        <v>2</v>
      </c>
      <c r="J128" s="10">
        <f>H128</f>
        <v>0</v>
      </c>
      <c r="K128" s="8" t="s">
        <v>2</v>
      </c>
      <c r="M128" s="90"/>
      <c r="N128" s="90"/>
      <c r="Q128" s="88"/>
      <c r="R128" s="88"/>
    </row>
    <row r="129" spans="4:18" ht="12.75">
      <c r="D129" s="1" t="s">
        <v>131</v>
      </c>
      <c r="E129" s="73" t="s">
        <v>26</v>
      </c>
      <c r="F129" s="9">
        <f>C26+C27+C28</f>
        <v>4.55</v>
      </c>
      <c r="G129" s="8" t="s">
        <v>2</v>
      </c>
      <c r="H129" s="10">
        <f>F129</f>
        <v>4.55</v>
      </c>
      <c r="I129" s="8" t="s">
        <v>2</v>
      </c>
      <c r="J129" s="10">
        <f>H129</f>
        <v>4.55</v>
      </c>
      <c r="K129" s="8" t="s">
        <v>2</v>
      </c>
      <c r="M129" s="90"/>
      <c r="N129" s="90"/>
      <c r="Q129" s="88"/>
      <c r="R129" s="88"/>
    </row>
    <row r="130" spans="4:18" ht="14.25">
      <c r="D130" s="1"/>
      <c r="E130" s="73" t="s">
        <v>45</v>
      </c>
      <c r="F130" s="6">
        <f>IF($C$41,INT($G$41),$G$42)</f>
        <v>1200</v>
      </c>
      <c r="G130" s="8" t="s">
        <v>35</v>
      </c>
      <c r="H130" s="7">
        <f>IF($C$41,INT($G$41),$G$42)</f>
        <v>1200</v>
      </c>
      <c r="I130" s="8" t="s">
        <v>35</v>
      </c>
      <c r="J130" s="7">
        <f>IF($C$41,INT($G$41),$G$42)</f>
        <v>1200</v>
      </c>
      <c r="K130" s="8" t="s">
        <v>35</v>
      </c>
      <c r="M130" s="90"/>
      <c r="N130" s="90"/>
      <c r="Q130" s="88"/>
      <c r="R130" s="88"/>
    </row>
    <row r="131" spans="4:18" ht="15" thickBot="1">
      <c r="D131" s="1" t="s">
        <v>132</v>
      </c>
      <c r="E131" s="73" t="s">
        <v>133</v>
      </c>
      <c r="F131" s="11">
        <f>(1-F127/90)^2*(1-EXP(-F128/F129))+(MAX((1-F127/45),0))^2*EXP(-F128/F129)</f>
        <v>0.4045605420882995</v>
      </c>
      <c r="G131" s="14"/>
      <c r="H131" s="13">
        <f>(1-H127/90)^2*(1-EXP(-H128/H129))+(MAX((1-H127/45),0))^2*EXP(-H128/H129)</f>
        <v>0.4895156718110594</v>
      </c>
      <c r="I131" s="14"/>
      <c r="J131" s="13">
        <f>(1-J127/90)^2*(1-EXP(-J128/J129))+(MAX((1-J127/45),0))^2*EXP(-J128/J129)</f>
        <v>0.4895156718110594</v>
      </c>
      <c r="K131" s="14"/>
      <c r="M131" s="90"/>
      <c r="N131" s="90"/>
      <c r="Q131" s="88"/>
      <c r="R131" s="88"/>
    </row>
    <row r="132" spans="14:18" ht="12" customHeight="1" thickBot="1">
      <c r="N132" s="90"/>
      <c r="R132" s="88"/>
    </row>
    <row r="133" spans="2:11" ht="12" customHeight="1" thickBot="1">
      <c r="B133" s="158" t="b">
        <v>1</v>
      </c>
      <c r="C133" s="156"/>
      <c r="E133" s="60" t="s">
        <v>134</v>
      </c>
      <c r="F133" s="74">
        <f>(3*F110+G110)/4</f>
        <v>177.7281820224724</v>
      </c>
      <c r="G133" s="27" t="s">
        <v>35</v>
      </c>
      <c r="H133" s="41">
        <f>(3*F111+G111)/4</f>
        <v>136.19141752779763</v>
      </c>
      <c r="I133" s="27" t="s">
        <v>35</v>
      </c>
      <c r="J133" s="41">
        <f>(3*F112+G112)/4</f>
        <v>136.19141752779763</v>
      </c>
      <c r="K133" s="27" t="s">
        <v>35</v>
      </c>
    </row>
    <row r="134" spans="6:11" ht="12.75">
      <c r="F134" s="60"/>
      <c r="G134" s="160" t="str">
        <f>IF(F133&lt;$F$136,"OK","mauvais")</f>
        <v>OK</v>
      </c>
      <c r="H134" s="60"/>
      <c r="I134" s="160" t="str">
        <f>IF(H133&lt;$H$136,"OK","mauvais")</f>
        <v>OK</v>
      </c>
      <c r="J134" s="60"/>
      <c r="K134" s="160" t="str">
        <f>IF(J133&lt;$J$136,"OK","mauvais")</f>
        <v>OK</v>
      </c>
    </row>
    <row r="135" ht="13.5" thickBot="1">
      <c r="B135" s="34" t="s">
        <v>135</v>
      </c>
    </row>
    <row r="136" spans="6:11" ht="13.5" thickBot="1">
      <c r="F136" s="74">
        <f>IF(B133,F130/2*F131,F130/2)</f>
        <v>242.7363252529797</v>
      </c>
      <c r="G136" s="27" t="s">
        <v>35</v>
      </c>
      <c r="H136" s="74">
        <f>IF(B133,H130/2*H131,H130/2)</f>
        <v>293.70940308663563</v>
      </c>
      <c r="I136" s="27" t="s">
        <v>35</v>
      </c>
      <c r="J136" s="41">
        <f>IF(B133,J130/2*J131,J130/2)</f>
        <v>293.70940308663563</v>
      </c>
      <c r="K136" s="27" t="s">
        <v>35</v>
      </c>
    </row>
    <row r="137" spans="6:11" ht="12.75">
      <c r="F137" s="61"/>
      <c r="G137" s="7"/>
      <c r="H137" s="61"/>
      <c r="I137" s="7"/>
      <c r="J137" s="61"/>
      <c r="K137" s="7"/>
    </row>
    <row r="138" spans="6:11" ht="13.5" thickBot="1">
      <c r="F138" s="61"/>
      <c r="G138" s="7"/>
      <c r="H138" s="61"/>
      <c r="I138" s="7"/>
      <c r="J138" s="61"/>
      <c r="K138" s="7"/>
    </row>
    <row r="139" spans="2:18" ht="13.5" thickBot="1">
      <c r="B139" s="144" t="s">
        <v>167</v>
      </c>
      <c r="F139" s="81" t="s">
        <v>99</v>
      </c>
      <c r="G139" s="70"/>
      <c r="H139" s="171" t="s">
        <v>100</v>
      </c>
      <c r="I139" s="172"/>
      <c r="J139" s="145"/>
      <c r="K139" s="146"/>
      <c r="M139" s="90"/>
      <c r="N139" s="90"/>
      <c r="Q139" s="88"/>
      <c r="R139" s="88"/>
    </row>
    <row r="140" spans="4:18" ht="12.75">
      <c r="D140" s="1" t="s">
        <v>123</v>
      </c>
      <c r="E140" s="73" t="s">
        <v>124</v>
      </c>
      <c r="F140" s="82">
        <f>-H73</f>
        <v>492.7404999999999</v>
      </c>
      <c r="G140" s="22" t="s">
        <v>56</v>
      </c>
      <c r="H140" s="82">
        <f>-H74</f>
        <v>416.7404999999999</v>
      </c>
      <c r="I140" s="22" t="s">
        <v>56</v>
      </c>
      <c r="J140" s="38"/>
      <c r="K140" s="7"/>
      <c r="M140" s="90"/>
      <c r="N140" s="90"/>
      <c r="Q140" s="88"/>
      <c r="R140" s="88"/>
    </row>
    <row r="141" spans="4:18" ht="12.75">
      <c r="D141" s="1" t="s">
        <v>125</v>
      </c>
      <c r="E141" s="73" t="s">
        <v>126</v>
      </c>
      <c r="F141" s="83">
        <f>-F73</f>
        <v>135.04702703482118</v>
      </c>
      <c r="G141" s="8" t="s">
        <v>56</v>
      </c>
      <c r="H141" s="83">
        <f>-F74</f>
        <v>93.89297339020099</v>
      </c>
      <c r="I141" s="8" t="s">
        <v>56</v>
      </c>
      <c r="J141" s="38"/>
      <c r="K141" s="7"/>
      <c r="M141" s="90"/>
      <c r="N141" s="90"/>
      <c r="Q141" s="88"/>
      <c r="R141" s="88"/>
    </row>
    <row r="142" spans="4:18" ht="12.75">
      <c r="D142" s="1" t="s">
        <v>127</v>
      </c>
      <c r="E142" s="60" t="s">
        <v>128</v>
      </c>
      <c r="F142" s="83">
        <f>ATAN(F141/F140)*180/PI()</f>
        <v>15.326877950237012</v>
      </c>
      <c r="G142" s="8" t="s">
        <v>8</v>
      </c>
      <c r="H142" s="83">
        <f>ATAN(H141/H140)*180/PI()</f>
        <v>12.696918090475215</v>
      </c>
      <c r="I142" s="8" t="s">
        <v>8</v>
      </c>
      <c r="J142" s="38"/>
      <c r="K142" s="7"/>
      <c r="M142" s="90"/>
      <c r="N142" s="90"/>
      <c r="Q142" s="88"/>
      <c r="R142" s="88"/>
    </row>
    <row r="143" spans="4:18" ht="15.75">
      <c r="D143" s="1" t="s">
        <v>129</v>
      </c>
      <c r="E143" s="73" t="s">
        <v>130</v>
      </c>
      <c r="F143" s="9">
        <f>F128</f>
        <v>0</v>
      </c>
      <c r="G143" s="8" t="s">
        <v>2</v>
      </c>
      <c r="H143" s="9">
        <f>F143</f>
        <v>0</v>
      </c>
      <c r="I143" s="8" t="s">
        <v>2</v>
      </c>
      <c r="J143" s="10"/>
      <c r="K143" s="7"/>
      <c r="M143" s="90"/>
      <c r="N143" s="90"/>
      <c r="Q143" s="88"/>
      <c r="R143" s="88"/>
    </row>
    <row r="144" spans="4:18" ht="12.75">
      <c r="D144" s="1" t="s">
        <v>131</v>
      </c>
      <c r="E144" s="73" t="s">
        <v>26</v>
      </c>
      <c r="F144" s="9">
        <f>F129</f>
        <v>4.55</v>
      </c>
      <c r="G144" s="8" t="s">
        <v>2</v>
      </c>
      <c r="H144" s="9">
        <f>F144</f>
        <v>4.55</v>
      </c>
      <c r="I144" s="8" t="s">
        <v>2</v>
      </c>
      <c r="J144" s="10"/>
      <c r="K144" s="7"/>
      <c r="M144" s="90"/>
      <c r="N144" s="90"/>
      <c r="Q144" s="88"/>
      <c r="R144" s="88"/>
    </row>
    <row r="145" spans="4:18" ht="14.25">
      <c r="D145" s="1"/>
      <c r="E145" s="73" t="s">
        <v>45</v>
      </c>
      <c r="F145" s="6">
        <f>IF($C$41,INT($G$41),$G$42)</f>
        <v>1200</v>
      </c>
      <c r="G145" s="8" t="s">
        <v>35</v>
      </c>
      <c r="H145" s="6">
        <f>IF($C$41,INT($G$41),$G$42)</f>
        <v>1200</v>
      </c>
      <c r="I145" s="8" t="s">
        <v>35</v>
      </c>
      <c r="J145" s="7"/>
      <c r="K145" s="7"/>
      <c r="M145" s="90"/>
      <c r="N145" s="90"/>
      <c r="Q145" s="88"/>
      <c r="R145" s="88"/>
    </row>
    <row r="146" spans="4:18" ht="15" thickBot="1">
      <c r="D146" s="1" t="s">
        <v>132</v>
      </c>
      <c r="E146" s="73" t="s">
        <v>133</v>
      </c>
      <c r="F146" s="11">
        <f>(1-F142/90)^2*(1-EXP(-F143/F144))+(MAX((1-F142/45),0))^2*EXP(-F143/F144)</f>
        <v>0.4348119368790767</v>
      </c>
      <c r="G146" s="14"/>
      <c r="H146" s="11">
        <f>(1-H142/90)^2*(1-EXP(-H143/H144))+(MAX((1-H142/45),0))^2*EXP(-H143/H144)</f>
        <v>0.5153032596807247</v>
      </c>
      <c r="I146" s="14"/>
      <c r="J146" s="10"/>
      <c r="K146" s="7"/>
      <c r="M146" s="90"/>
      <c r="N146" s="90"/>
      <c r="Q146" s="88"/>
      <c r="R146" s="88"/>
    </row>
    <row r="147" spans="10:18" ht="12" customHeight="1" thickBot="1">
      <c r="J147" s="7"/>
      <c r="K147" s="7"/>
      <c r="N147" s="90"/>
      <c r="R147" s="88"/>
    </row>
    <row r="148" spans="2:11" ht="12" customHeight="1" thickBot="1">
      <c r="B148" s="141" t="b">
        <v>0</v>
      </c>
      <c r="E148" s="60" t="s">
        <v>134</v>
      </c>
      <c r="F148" s="74">
        <f>(3*F113+G113)/4</f>
        <v>137.53661287552978</v>
      </c>
      <c r="G148" s="27" t="s">
        <v>35</v>
      </c>
      <c r="H148" s="74">
        <f>(3*F114+G114)/4</f>
        <v>109.84543654574658</v>
      </c>
      <c r="I148" s="27" t="s">
        <v>35</v>
      </c>
      <c r="J148" s="61"/>
      <c r="K148" s="7"/>
    </row>
    <row r="149" spans="6:11" ht="12.75">
      <c r="F149" s="60"/>
      <c r="G149" s="160" t="str">
        <f>IF(F148&lt;$F$151,"OK","mauvais")</f>
        <v>OK</v>
      </c>
      <c r="H149" s="60"/>
      <c r="I149" s="160" t="str">
        <f>IF(H148&lt;$H$151,"OK","mauvais")</f>
        <v>OK</v>
      </c>
      <c r="J149" s="60"/>
      <c r="K149" s="59"/>
    </row>
    <row r="150" spans="2:11" ht="13.5" thickBot="1">
      <c r="B150" s="34" t="s">
        <v>135</v>
      </c>
      <c r="J150" s="7"/>
      <c r="K150" s="7"/>
    </row>
    <row r="151" spans="6:11" ht="13.5" thickBot="1">
      <c r="F151" s="74">
        <f>IF(B133,F145/3*F146,F145/3)</f>
        <v>173.92477475163068</v>
      </c>
      <c r="G151" s="27" t="s">
        <v>35</v>
      </c>
      <c r="H151" s="74">
        <f>IF(B133,H145/3*H146,H145/3)</f>
        <v>206.12130387228987</v>
      </c>
      <c r="I151" s="27" t="s">
        <v>35</v>
      </c>
      <c r="J151" s="61"/>
      <c r="K151" s="7"/>
    </row>
    <row r="152" spans="6:11" ht="12.75">
      <c r="F152" s="61"/>
      <c r="G152" s="7"/>
      <c r="H152" s="61"/>
      <c r="I152" s="7"/>
      <c r="J152" s="61"/>
      <c r="K152" s="7"/>
    </row>
    <row r="154" spans="1:7" ht="15.75">
      <c r="A154" t="s">
        <v>136</v>
      </c>
      <c r="C154" s="7"/>
      <c r="D154" s="7"/>
      <c r="E154" s="3" t="s">
        <v>137</v>
      </c>
      <c r="F154" s="152">
        <v>14.16</v>
      </c>
      <c r="G154" t="s">
        <v>19</v>
      </c>
    </row>
    <row r="155" spans="1:7" ht="15.75">
      <c r="A155" t="s">
        <v>138</v>
      </c>
      <c r="E155" s="3" t="s">
        <v>139</v>
      </c>
      <c r="F155" s="153">
        <v>435</v>
      </c>
      <c r="G155" t="s">
        <v>19</v>
      </c>
    </row>
    <row r="156" spans="1:7" ht="12.75">
      <c r="A156" t="s">
        <v>140</v>
      </c>
      <c r="E156" s="35" t="s">
        <v>141</v>
      </c>
      <c r="F156">
        <f>G32/100</f>
        <v>0.05</v>
      </c>
      <c r="G156" t="s">
        <v>190</v>
      </c>
    </row>
    <row r="157" spans="1:7" ht="15.75">
      <c r="A157" t="s">
        <v>176</v>
      </c>
      <c r="D157" t="s">
        <v>177</v>
      </c>
      <c r="E157" s="35"/>
      <c r="F157" s="3" t="s">
        <v>179</v>
      </c>
      <c r="G157" s="149">
        <v>1.35</v>
      </c>
    </row>
    <row r="158" spans="4:7" ht="15.75">
      <c r="D158" t="s">
        <v>178</v>
      </c>
      <c r="E158" s="35"/>
      <c r="F158" s="3" t="s">
        <v>180</v>
      </c>
      <c r="G158" s="149">
        <v>1.5</v>
      </c>
    </row>
    <row r="159" spans="15:16" ht="12.75">
      <c r="O159" s="117"/>
      <c r="P159" s="117"/>
    </row>
    <row r="160" spans="1:16" ht="15.75">
      <c r="A160" s="4" t="s">
        <v>175</v>
      </c>
      <c r="O160" s="117"/>
      <c r="P160" s="117"/>
    </row>
    <row r="161" spans="1:16" ht="12.75">
      <c r="A161" s="42"/>
      <c r="O161" s="117"/>
      <c r="P161" s="117"/>
    </row>
    <row r="162" spans="1:18" ht="12.75">
      <c r="A162" s="43" t="s">
        <v>142</v>
      </c>
      <c r="C162" t="s">
        <v>143</v>
      </c>
      <c r="M162" s="117"/>
      <c r="N162" s="117"/>
      <c r="O162" s="88"/>
      <c r="P162" s="88"/>
      <c r="Q162" s="88"/>
      <c r="R162" s="88"/>
    </row>
    <row r="163" spans="1:18" ht="12.75">
      <c r="A163" s="43"/>
      <c r="M163" s="90"/>
      <c r="N163" s="90"/>
      <c r="O163" s="88"/>
      <c r="P163" s="88"/>
      <c r="Q163" s="88"/>
      <c r="R163" s="88"/>
    </row>
    <row r="164" spans="1:23" s="52" customFormat="1" ht="13.5" thickBot="1">
      <c r="A164"/>
      <c r="B164"/>
      <c r="C164" s="84"/>
      <c r="D164" s="84"/>
      <c r="E164" s="84"/>
      <c r="F164"/>
      <c r="G164"/>
      <c r="H164"/>
      <c r="I164"/>
      <c r="J164"/>
      <c r="K164" s="33"/>
      <c r="L164" s="33"/>
      <c r="M164" s="90"/>
      <c r="N164" s="90"/>
      <c r="O164" s="118"/>
      <c r="P164" s="118"/>
      <c r="Q164" s="118"/>
      <c r="R164" s="118"/>
      <c r="S164" s="118"/>
      <c r="T164" s="118"/>
      <c r="U164" s="118"/>
      <c r="V164" s="118"/>
      <c r="W164" s="118"/>
    </row>
    <row r="165" spans="1:23" ht="12.75">
      <c r="A165" s="44" t="s">
        <v>144</v>
      </c>
      <c r="B165" s="55" t="s">
        <v>145</v>
      </c>
      <c r="C165" s="45" t="s">
        <v>88</v>
      </c>
      <c r="D165" s="163" t="s">
        <v>146</v>
      </c>
      <c r="G165" s="33"/>
      <c r="H165" s="33"/>
      <c r="I165" s="90"/>
      <c r="J165" s="90"/>
      <c r="K165" s="88"/>
      <c r="L165" s="88"/>
      <c r="O165" s="88"/>
      <c r="P165" s="88"/>
      <c r="Q165" s="88"/>
      <c r="R165" s="88"/>
      <c r="T165"/>
      <c r="U165"/>
      <c r="V165"/>
      <c r="W165"/>
    </row>
    <row r="166" spans="1:23" ht="16.5" thickBot="1">
      <c r="A166" s="46" t="s">
        <v>147</v>
      </c>
      <c r="B166" s="56" t="s">
        <v>2</v>
      </c>
      <c r="C166" s="47" t="s">
        <v>148</v>
      </c>
      <c r="D166" s="164" t="s">
        <v>149</v>
      </c>
      <c r="G166" s="33"/>
      <c r="H166" s="33"/>
      <c r="I166" s="90"/>
      <c r="J166" s="90"/>
      <c r="K166" s="88"/>
      <c r="L166" s="88"/>
      <c r="O166" s="88"/>
      <c r="P166" s="88"/>
      <c r="Q166" s="88"/>
      <c r="R166" s="88"/>
      <c r="T166"/>
      <c r="U166"/>
      <c r="V166"/>
      <c r="W166"/>
    </row>
    <row r="167" spans="1:23" ht="12.75">
      <c r="A167" s="48">
        <v>0</v>
      </c>
      <c r="B167" s="57">
        <f>($C$29-$C$28)/($C$24-$C$25)*$A$167+$C$28-$F$156</f>
        <v>0.4</v>
      </c>
      <c r="C167" s="49">
        <f>MAX(gammab*$G$26/6*($C$24-$C$25-A167)^3*$G$23+gammaq*$G$26/2*($C$24-$C$25-$A$167)^2*$C$34,gammab*$G$26/6*($C$24-$C$25-$A$167)^3*$G$23+gammaq*MAX(0,ABS($F$63)*($T$58-$C$25-$A$167))+gammaq*MAX(0,ABS($F$64)*($T$59-$C$25-$A$167)))</f>
        <v>292.0318710891611</v>
      </c>
      <c r="D167" s="165">
        <f>C167/(0.835*$B$167*sigmas)*10</f>
        <v>20.09992918226726</v>
      </c>
      <c r="E167" s="52"/>
      <c r="F167" s="52"/>
      <c r="G167" s="33"/>
      <c r="H167" s="33"/>
      <c r="I167" s="90"/>
      <c r="J167" s="90"/>
      <c r="K167" s="88"/>
      <c r="L167" s="88"/>
      <c r="O167" s="88"/>
      <c r="P167" s="88"/>
      <c r="Q167" s="88"/>
      <c r="R167" s="88"/>
      <c r="T167"/>
      <c r="U167"/>
      <c r="V167"/>
      <c r="W167"/>
    </row>
    <row r="168" spans="1:23" ht="12.75">
      <c r="A168" s="48">
        <f>($C$24-$C$25)/5</f>
        <v>0.924</v>
      </c>
      <c r="B168" s="57">
        <f>($C$29-$C$28)/($C$24-$C$25)*$A$168+$C$28-$F$156</f>
        <v>0.4</v>
      </c>
      <c r="C168" s="49">
        <f>MAX(gammab*$G$26/6*($C$24-$C$25-$A$168)^3*$G$23+gammaq*$G$26/2*($C$24-$C$25-$A$168)^2*$C$34,gammab*$G$26/6*($C$24-$C$25-$A$168)^3*$G$23+gammaq*MAX(0,ABS($F$63)*($T$58-$C$25-$A$168))+gammaq*MAX(0,ABS($F$64)*($T$59-$C$25-$A$168)))</f>
        <v>166.1529065441543</v>
      </c>
      <c r="D168" s="165">
        <f>C168/(0.835*$B$168*$F$155)*10</f>
        <v>11.435949242491175</v>
      </c>
      <c r="G168" s="33"/>
      <c r="H168" s="33"/>
      <c r="I168" s="90"/>
      <c r="J168" s="90"/>
      <c r="K168" s="88"/>
      <c r="L168" s="88"/>
      <c r="O168" s="88"/>
      <c r="P168" s="88"/>
      <c r="Q168" s="88"/>
      <c r="R168" s="88"/>
      <c r="T168"/>
      <c r="U168"/>
      <c r="V168"/>
      <c r="W168"/>
    </row>
    <row r="169" spans="1:23" ht="12.75">
      <c r="A169" s="48">
        <f>2*($C$24-$C$25)/5</f>
        <v>1.848</v>
      </c>
      <c r="B169" s="57">
        <f>($C$29-$C$28)/($C$24-$C$25)*$A$169+$C$28-$F$156</f>
        <v>0.4</v>
      </c>
      <c r="C169" s="49">
        <f>MAX(gammab*$G$26/6*($C$24-$C$25-$A$169)^3*$G$23+gammaq*$G$26/2*($C$24-$C$25-A169)^2*$C$34,gammab*$G$26/6*($C$24-$C$25-$A$169)^3*$G$23+gammaq*MAX(0,ABS($F$63)*($T$58-$C$25-$A$169))+gammaq*MAX(0,ABS($F$64)*($T$59-$C$25-$A$169)))</f>
        <v>81.79054627007557</v>
      </c>
      <c r="D169" s="165">
        <f>C169/(0.835*$B$169*$F$155)*10</f>
        <v>5.6294683921863555</v>
      </c>
      <c r="G169" s="33"/>
      <c r="H169" s="33"/>
      <c r="I169" s="90"/>
      <c r="J169" s="90"/>
      <c r="K169" s="88"/>
      <c r="L169" s="88"/>
      <c r="O169" s="88"/>
      <c r="P169" s="88"/>
      <c r="Q169" s="88"/>
      <c r="R169" s="88"/>
      <c r="T169"/>
      <c r="U169"/>
      <c r="V169"/>
      <c r="W169"/>
    </row>
    <row r="170" spans="1:23" ht="12.75">
      <c r="A170" s="48">
        <f>3*($C$24-$C$25)/5</f>
        <v>2.772</v>
      </c>
      <c r="B170" s="57">
        <f>($C$29-$C$28)/($C$24-$C$25)*$A$170+$C$28-$F$156</f>
        <v>0.4</v>
      </c>
      <c r="C170" s="49">
        <f>MAX(gammab*$G$26/6*($C$24-$C$25-$A$170)^3*$G$23+gammaq*$G$26/2*($C$24-$C$25-$A$170)^2*$C$34,gammab*$G$26/6*($C$24-$C$25-$A$170)^3*$G$23+gammaq*MAX(0,ABS($F$63)*($T$58-$C$25-$A$170))+gammaq*MAX(0,ABS($F$64)*($T$59-$C$25-$A$170)))</f>
        <v>31.164481159584163</v>
      </c>
      <c r="D170" s="165">
        <f>C170/(0.835*$B$170*$F$155)*10</f>
        <v>2.144984593542856</v>
      </c>
      <c r="G170" s="33"/>
      <c r="H170" s="33"/>
      <c r="I170" s="90"/>
      <c r="J170" s="90"/>
      <c r="K170" s="88"/>
      <c r="L170" s="88"/>
      <c r="O170" s="88"/>
      <c r="P170" s="88"/>
      <c r="Q170" s="88"/>
      <c r="R170" s="88"/>
      <c r="T170"/>
      <c r="U170"/>
      <c r="V170"/>
      <c r="W170"/>
    </row>
    <row r="171" spans="1:23" ht="12.75">
      <c r="A171" s="48">
        <f>4*($C$24-$C$25)/5</f>
        <v>3.696</v>
      </c>
      <c r="B171" s="57">
        <f>($C$29-$C$28)/($C$24-$C$25)*$A$171+$C$28-$F$156</f>
        <v>0.4</v>
      </c>
      <c r="C171" s="49">
        <f>MAX(gammab*$G$26/6*($C$24-$C$25-$A$171)^3*$G$23+gammaq*$G$26/2*($C$24-$C$25-A171)^2*$C$34,gammab*$G$26/6*($C$24-$C$25-$A$171)^3*$G$23+gammaq*MAX(0,ABS($F$63)*($T$58-$C$25-$A$171))+gammaq*MAX(0,ABS($F$64)*($T$59-$C$25-$A$171)))</f>
        <v>6.494402105339234</v>
      </c>
      <c r="D171" s="165">
        <f>C171/(0.835*$B$171*$F$155)*10</f>
        <v>0.44699580875072153</v>
      </c>
      <c r="G171" s="33"/>
      <c r="H171" s="33"/>
      <c r="I171" s="90"/>
      <c r="J171" s="90"/>
      <c r="K171" s="88"/>
      <c r="L171" s="88"/>
      <c r="O171" s="88"/>
      <c r="P171" s="88"/>
      <c r="Q171" s="88"/>
      <c r="R171" s="88"/>
      <c r="T171"/>
      <c r="U171"/>
      <c r="V171"/>
      <c r="W171"/>
    </row>
    <row r="172" spans="1:23" ht="13.5" thickBot="1">
      <c r="A172" s="50">
        <f>5*($C$24-$C$25)/5</f>
        <v>4.62</v>
      </c>
      <c r="B172" s="58">
        <f>($C$29-$C$28)/($C$24-$C$25)*$A$172+$C$28-$F$156</f>
        <v>0.4</v>
      </c>
      <c r="C172" s="51">
        <f>MAX(gammab*$G$26/6*($C$24-$C$25-$A$172)^3*$G$23+gammaq*$G$26/2*($C$24-$C$25-$A$172)^2*$C$34,gammab*$G$26/6*($C$24-$C$25-$A$172)^3*$G$23+gammaq*MAX(0,ABS($F$63)*($T$58-$C$25-$A$172))+gammaq*MAX(0,ABS($F$64)*($T$59-$C$25-$A$172)))</f>
        <v>0</v>
      </c>
      <c r="D172" s="166">
        <f>C172/(0.835*$B$172*$F$155)*10</f>
        <v>0</v>
      </c>
      <c r="G172" s="33"/>
      <c r="H172" s="33"/>
      <c r="I172" s="88"/>
      <c r="J172" s="88"/>
      <c r="K172" s="90"/>
      <c r="L172" s="90"/>
      <c r="M172" s="90"/>
      <c r="N172" s="90"/>
      <c r="O172" s="88"/>
      <c r="P172" s="88"/>
      <c r="Q172" s="88"/>
      <c r="R172" s="88"/>
      <c r="T172"/>
      <c r="U172"/>
      <c r="V172"/>
      <c r="W172"/>
    </row>
    <row r="173" spans="1:12" ht="12.75">
      <c r="A173" s="52"/>
      <c r="B173" s="52"/>
      <c r="C173" s="53"/>
      <c r="D173" s="52"/>
      <c r="F173" s="52"/>
      <c r="G173" s="52"/>
      <c r="H173" s="52"/>
      <c r="K173" s="33"/>
      <c r="L173" s="33"/>
    </row>
    <row r="175" spans="3:11" ht="13.5" thickBot="1">
      <c r="C175" s="84" t="s">
        <v>151</v>
      </c>
      <c r="D175" s="84"/>
      <c r="E175" s="84"/>
      <c r="I175" s="84" t="s">
        <v>152</v>
      </c>
      <c r="J175" s="84"/>
      <c r="K175" s="84"/>
    </row>
    <row r="176" spans="1:11" ht="13.5" thickBot="1">
      <c r="A176" s="43" t="s">
        <v>153</v>
      </c>
      <c r="C176" s="68" t="s">
        <v>182</v>
      </c>
      <c r="D176" s="69"/>
      <c r="E176" s="70"/>
      <c r="I176" s="68" t="s">
        <v>182</v>
      </c>
      <c r="J176" s="69"/>
      <c r="K176" s="70"/>
    </row>
    <row r="177" spans="1:11" ht="16.5">
      <c r="A177" t="s">
        <v>154</v>
      </c>
      <c r="C177" s="62" t="s">
        <v>183</v>
      </c>
      <c r="D177" s="63">
        <f>$F$113</f>
        <v>166.7786103664442</v>
      </c>
      <c r="E177" s="22" t="s">
        <v>155</v>
      </c>
      <c r="I177" s="62" t="s">
        <v>183</v>
      </c>
      <c r="J177" s="63">
        <f>$F$114</f>
        <v>128.0995544101745</v>
      </c>
      <c r="K177" s="22" t="s">
        <v>155</v>
      </c>
    </row>
    <row r="178" spans="3:11" ht="16.5">
      <c r="C178" s="39" t="s">
        <v>184</v>
      </c>
      <c r="D178" s="61">
        <f>$F$113-($F$113-$G$113)/$H$106*$C$26</f>
        <v>159.06643520400524</v>
      </c>
      <c r="E178" s="8" t="s">
        <v>155</v>
      </c>
      <c r="I178" s="39" t="s">
        <v>184</v>
      </c>
      <c r="J178" s="61">
        <f>$F$114-($F$114-$G$114)/$H$107*$C$26</f>
        <v>123.28528156680889</v>
      </c>
      <c r="K178" s="8" t="s">
        <v>155</v>
      </c>
    </row>
    <row r="179" spans="3:11" ht="16.5">
      <c r="C179" s="37" t="s">
        <v>187</v>
      </c>
      <c r="D179" s="38">
        <f>$C$25*$G$28</f>
        <v>11.25</v>
      </c>
      <c r="E179" s="8" t="s">
        <v>155</v>
      </c>
      <c r="I179" s="37" t="s">
        <v>187</v>
      </c>
      <c r="J179" s="38">
        <f>$C$25*$G$28</f>
        <v>11.25</v>
      </c>
      <c r="K179" s="8" t="s">
        <v>155</v>
      </c>
    </row>
    <row r="180" spans="3:11" ht="14.25">
      <c r="C180" s="37" t="s">
        <v>181</v>
      </c>
      <c r="D180" s="10">
        <f>(2/3*gammab+1/3*gammaq)*(D178*$C$26^2/2+(D177-D178)*$C$26/2*2*$C$26/3-D179*$C$26^2/2)</f>
        <v>9.636346774674767</v>
      </c>
      <c r="E180" s="8" t="s">
        <v>150</v>
      </c>
      <c r="I180" s="37" t="s">
        <v>181</v>
      </c>
      <c r="J180" s="10">
        <f>(2/3*gammab+1/3*gammaq)*(J178*$C$26^2/2+(J177-J178)*$C$26/2*2*$C$26/3-J179*$C$26^2/2)</f>
        <v>7.260422198130317</v>
      </c>
      <c r="K180" s="8" t="s">
        <v>150</v>
      </c>
    </row>
    <row r="181" spans="3:11" ht="16.5" thickBot="1">
      <c r="C181" s="40" t="s">
        <v>156</v>
      </c>
      <c r="D181" s="159">
        <f>D180*10/(0.875*($C$25-$F$156)*$F$155)</f>
        <v>0.6329291806026117</v>
      </c>
      <c r="E181" s="14" t="s">
        <v>157</v>
      </c>
      <c r="I181" s="40" t="s">
        <v>156</v>
      </c>
      <c r="J181" s="159">
        <f>J180*10/(0.875*($C$25-$F$156)*$F$155)</f>
        <v>0.47687502122366604</v>
      </c>
      <c r="K181" s="14" t="s">
        <v>157</v>
      </c>
    </row>
    <row r="182" spans="3:10" ht="12.75">
      <c r="C182" s="53"/>
      <c r="D182" s="54"/>
      <c r="I182" s="53"/>
      <c r="J182" s="54"/>
    </row>
    <row r="183" spans="3:11" ht="13.5" thickBot="1">
      <c r="C183" s="84" t="s">
        <v>151</v>
      </c>
      <c r="D183" s="85"/>
      <c r="E183" s="84"/>
      <c r="I183" s="84" t="s">
        <v>152</v>
      </c>
      <c r="J183" s="85"/>
      <c r="K183" s="84"/>
    </row>
    <row r="184" spans="1:11" ht="13.5" thickBot="1">
      <c r="A184" s="43" t="s">
        <v>158</v>
      </c>
      <c r="C184" s="68" t="s">
        <v>182</v>
      </c>
      <c r="D184" s="69"/>
      <c r="E184" s="70"/>
      <c r="I184" s="68" t="s">
        <v>182</v>
      </c>
      <c r="J184" s="69"/>
      <c r="K184" s="70"/>
    </row>
    <row r="185" spans="1:11" ht="16.5">
      <c r="A185" t="s">
        <v>159</v>
      </c>
      <c r="C185" s="62" t="s">
        <v>185</v>
      </c>
      <c r="D185" s="63">
        <f>$F$113-($F$113-$G$113)/$H$106*($C$28+$C$26)</f>
        <v>147.49817246034678</v>
      </c>
      <c r="E185" s="22" t="s">
        <v>155</v>
      </c>
      <c r="I185" s="62" t="s">
        <v>185</v>
      </c>
      <c r="J185" s="63">
        <f>$F$114-($F$114-$G$114)/$H$107*($C$28+$C$26)</f>
        <v>116.06387230176048</v>
      </c>
      <c r="K185" s="22" t="s">
        <v>155</v>
      </c>
    </row>
    <row r="186" spans="3:11" ht="16.5">
      <c r="C186" s="39" t="s">
        <v>186</v>
      </c>
      <c r="D186" s="61">
        <f>$G$113</f>
        <v>49.81062040278653</v>
      </c>
      <c r="E186" s="8" t="s">
        <v>155</v>
      </c>
      <c r="I186" s="39" t="s">
        <v>186</v>
      </c>
      <c r="J186" s="61">
        <f>$G$114</f>
        <v>55.08308295246281</v>
      </c>
      <c r="K186" s="8" t="s">
        <v>155</v>
      </c>
    </row>
    <row r="187" spans="3:11" ht="16.5">
      <c r="C187" s="37" t="s">
        <v>188</v>
      </c>
      <c r="D187" s="38">
        <f>$C$25*$G$28+($C$24-$C$25)*$G$23+C34</f>
        <v>114.41</v>
      </c>
      <c r="E187" s="8" t="s">
        <v>155</v>
      </c>
      <c r="I187" s="37" t="s">
        <v>188</v>
      </c>
      <c r="J187" s="38">
        <f>$C$25*$G$28+($C$24-$C$25)*$G$23</f>
        <v>94.41</v>
      </c>
      <c r="K187" s="8" t="s">
        <v>155</v>
      </c>
    </row>
    <row r="188" spans="3:11" ht="14.25">
      <c r="C188" s="37" t="s">
        <v>181</v>
      </c>
      <c r="D188" s="10">
        <f>IF(3*(ABS($J$73/$H$73))&lt;0.5*($C$26+$C$27+$C$28),(2/3*gammab+1/3*gammaq)*((D187-D186)*$C$27^2/2-(D185-D186)*$C$27^2/6),(2/3*gammab+1/3*gammaq)*(D187*$C$27^2/2-D185*($H$106-$C$26-$C$29)^2/6))</f>
        <v>323.8286035693607</v>
      </c>
      <c r="E188" s="8" t="s">
        <v>150</v>
      </c>
      <c r="I188" s="37" t="s">
        <v>181</v>
      </c>
      <c r="J188" s="10">
        <f>IF(3*(ABS($J$74/$H$74))&lt;0.5*($C$26+$C$27+$C$28),(2/3*gammab+1/3*gammaq)*((J187-J186)*$C$27^2/2-(J185-J186)*$C$27^2/6),(2/3*gammab+1/3*gammaq)*(J187*$C$27^2/2-J185*($H$107-$C$26-$C$29)^2/6))</f>
        <v>192.0518712689389</v>
      </c>
      <c r="K188" s="8" t="s">
        <v>150</v>
      </c>
    </row>
    <row r="189" spans="3:11" ht="16.5" thickBot="1">
      <c r="C189" s="40" t="s">
        <v>156</v>
      </c>
      <c r="D189" s="159">
        <f>D188*10/(0.875*($C$25-$F$156)*$F$155)</f>
        <v>21.269530612109072</v>
      </c>
      <c r="E189" s="14" t="s">
        <v>157</v>
      </c>
      <c r="I189" s="40" t="s">
        <v>156</v>
      </c>
      <c r="J189" s="159">
        <f>J188*10/(0.875*($C$25-$F$156)*$F$155)</f>
        <v>12.614244418321107</v>
      </c>
      <c r="K189" s="14" t="s">
        <v>157</v>
      </c>
    </row>
    <row r="190" spans="3:4" ht="12.75">
      <c r="C190" s="53"/>
      <c r="D190" s="54"/>
    </row>
  </sheetData>
  <sheetProtection sheet="1" objects="1" scenarios="1" selectLockedCells="1"/>
  <mergeCells count="1">
    <mergeCell ref="H139:I139"/>
  </mergeCells>
  <printOptions/>
  <pageMargins left="0.2362204724409449" right="0.35433070866141736" top="0.5905511811023623" bottom="0.3937007874015748" header="0.5118110236220472" footer="0.31496062992125984"/>
  <pageSetup fitToHeight="4" horizontalDpi="300" verticalDpi="300" orientation="portrait" paperSize="9" r:id="rId8"/>
  <headerFooter alignWithMargins="0">
    <oddHeader>&amp;C&amp;A</oddHeader>
  </headerFooter>
  <rowBreaks count="4" manualBreakCount="4">
    <brk id="43" max="255" man="1"/>
    <brk id="84" max="255" man="1"/>
    <brk id="115" max="255" man="1"/>
    <brk id="159" max="255" man="1"/>
  </rowBreaks>
  <drawing r:id="rId7"/>
  <legacyDrawing r:id="rId6"/>
  <oleObjects>
    <oleObject progId="Equation.2" shapeId="1433195" r:id="rId1"/>
    <oleObject progId="Equation" shapeId="1433199" r:id="rId2"/>
    <oleObject progId="Equation.2" shapeId="1433202" r:id="rId3"/>
    <oleObject progId="Equation.2" shapeId="1433206" r:id="rId4"/>
    <oleObject progId="Equation.2" shapeId="41253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EUROCONCEPT INGENIERIE</dc:creator>
  <cp:keywords/>
  <dc:description/>
  <cp:lastModifiedBy>Philippe BAUDET</cp:lastModifiedBy>
  <cp:lastPrinted>2009-02-23T09:58:52Z</cp:lastPrinted>
  <dcterms:created xsi:type="dcterms:W3CDTF">2002-06-07T17:54:53Z</dcterms:created>
  <dcterms:modified xsi:type="dcterms:W3CDTF">2009-02-23T10:53:11Z</dcterms:modified>
  <cp:category/>
  <cp:version/>
  <cp:contentType/>
  <cp:contentStatus/>
</cp:coreProperties>
</file>