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320" windowHeight="10770" tabRatio="590" activeTab="0"/>
  </bookViews>
  <sheets>
    <sheet name="Feuil1" sheetId="1" r:id="rId1"/>
  </sheets>
  <definedNames>
    <definedName name="muo">'Feuil1'!$J$23</definedName>
    <definedName name="tabac">'Feuil1'!$AH$20:$AJ$23</definedName>
    <definedName name="tabfck">'Feuil1'!$AH$4:$AO$17</definedName>
    <definedName name="_xlnm.Print_Area" localSheetId="0">'Feuil1'!$A$1:$O$36</definedName>
  </definedNames>
  <calcPr fullCalcOnLoad="1"/>
</workbook>
</file>

<file path=xl/comments1.xml><?xml version="1.0" encoding="utf-8"?>
<comments xmlns="http://schemas.openxmlformats.org/spreadsheetml/2006/main">
  <authors>
    <author>Henry</author>
    <author>AT</author>
  </authors>
  <commentList>
    <comment ref="C8" authorId="0">
      <text>
        <r>
          <rPr>
            <b/>
            <sz val="8"/>
            <rFont val="Tahoma"/>
            <family val="0"/>
          </rPr>
          <t>Indiquer l'excentricité tolérée par la norme ne nécessitant pas de longrine
Ce n'est pas la tolérance d'exécution.</t>
        </r>
      </text>
    </comment>
    <comment ref="C9" authorId="1">
      <text>
        <r>
          <rPr>
            <b/>
            <sz val="8"/>
            <rFont val="Tahoma"/>
            <family val="0"/>
          </rPr>
          <t>Indiquer l'excentricité qui correspond au moment que peut supporter le pieu avec le ferraillage choisi  (en général le % mini).
Voir diagramme d'interaction (Programme N° 116)</t>
        </r>
      </text>
    </comment>
  </commentList>
</comments>
</file>

<file path=xl/sharedStrings.xml><?xml version="1.0" encoding="utf-8"?>
<sst xmlns="http://schemas.openxmlformats.org/spreadsheetml/2006/main" count="109" uniqueCount="90">
  <si>
    <t>k</t>
  </si>
  <si>
    <t>b</t>
  </si>
  <si>
    <t>m</t>
  </si>
  <si>
    <t>h</t>
  </si>
  <si>
    <t>D</t>
  </si>
  <si>
    <r>
      <t>M</t>
    </r>
    <r>
      <rPr>
        <vertAlign val="subscript"/>
        <sz val="9"/>
        <rFont val="Arial"/>
        <family val="2"/>
      </rPr>
      <t>0</t>
    </r>
  </si>
  <si>
    <r>
      <t>N</t>
    </r>
    <r>
      <rPr>
        <vertAlign val="subscript"/>
        <sz val="9"/>
        <rFont val="Arial"/>
        <family val="2"/>
      </rPr>
      <t>Ed</t>
    </r>
  </si>
  <si>
    <r>
      <t>e</t>
    </r>
    <r>
      <rPr>
        <vertAlign val="subscript"/>
        <sz val="9"/>
        <rFont val="Arial"/>
        <family val="2"/>
      </rPr>
      <t>constaté</t>
    </r>
  </si>
  <si>
    <t>MPa</t>
  </si>
  <si>
    <t>MN</t>
  </si>
  <si>
    <t>MNm</t>
  </si>
  <si>
    <t>Tableau des caractéristiques des bétons selon EC2</t>
  </si>
  <si>
    <r>
      <t>f</t>
    </r>
    <r>
      <rPr>
        <vertAlign val="subscript"/>
        <sz val="9"/>
        <rFont val="Arial"/>
        <family val="2"/>
      </rPr>
      <t>ck</t>
    </r>
  </si>
  <si>
    <r>
      <t>f</t>
    </r>
    <r>
      <rPr>
        <vertAlign val="subscript"/>
        <sz val="9"/>
        <rFont val="Arial"/>
        <family val="2"/>
      </rPr>
      <t>ctm</t>
    </r>
  </si>
  <si>
    <r>
      <t>E</t>
    </r>
    <r>
      <rPr>
        <vertAlign val="subscript"/>
        <sz val="9"/>
        <rFont val="Arial"/>
        <family val="2"/>
      </rPr>
      <t>cm</t>
    </r>
  </si>
  <si>
    <r>
      <t>e</t>
    </r>
    <r>
      <rPr>
        <vertAlign val="subscript"/>
        <sz val="9"/>
        <rFont val="Arial"/>
        <family val="2"/>
      </rPr>
      <t>cu1</t>
    </r>
  </si>
  <si>
    <r>
      <t>e</t>
    </r>
    <r>
      <rPr>
        <vertAlign val="subscript"/>
        <sz val="9"/>
        <rFont val="Arial"/>
        <family val="2"/>
      </rPr>
      <t>c1</t>
    </r>
  </si>
  <si>
    <r>
      <t>e</t>
    </r>
    <r>
      <rPr>
        <vertAlign val="subscript"/>
        <sz val="9"/>
        <rFont val="Arial"/>
        <family val="2"/>
      </rPr>
      <t>cu2</t>
    </r>
  </si>
  <si>
    <r>
      <t>e</t>
    </r>
    <r>
      <rPr>
        <vertAlign val="subscript"/>
        <sz val="9"/>
        <rFont val="Arial"/>
        <family val="2"/>
      </rPr>
      <t>c2</t>
    </r>
  </si>
  <si>
    <t>n</t>
  </si>
  <si>
    <t>Pieu</t>
  </si>
  <si>
    <t>charge en tête de pieu</t>
  </si>
  <si>
    <t>Longrines</t>
  </si>
  <si>
    <t>n° 1</t>
  </si>
  <si>
    <t>n° 2</t>
  </si>
  <si>
    <t>d'</t>
  </si>
  <si>
    <t>enrobage à l'axe</t>
  </si>
  <si>
    <r>
      <t>g</t>
    </r>
    <r>
      <rPr>
        <vertAlign val="subscript"/>
        <sz val="9"/>
        <rFont val="Arial"/>
        <family val="2"/>
      </rPr>
      <t>C</t>
    </r>
  </si>
  <si>
    <r>
      <t>f</t>
    </r>
    <r>
      <rPr>
        <vertAlign val="subscript"/>
        <sz val="9"/>
        <rFont val="Arial"/>
        <family val="2"/>
      </rPr>
      <t>yk</t>
    </r>
  </si>
  <si>
    <r>
      <t>g</t>
    </r>
    <r>
      <rPr>
        <vertAlign val="subscript"/>
        <sz val="9"/>
        <rFont val="Arial"/>
        <family val="2"/>
      </rPr>
      <t>S</t>
    </r>
  </si>
  <si>
    <r>
      <t>f</t>
    </r>
    <r>
      <rPr>
        <vertAlign val="subscript"/>
        <sz val="9"/>
        <rFont val="Arial"/>
        <family val="2"/>
      </rPr>
      <t>yd</t>
    </r>
  </si>
  <si>
    <r>
      <t>cm</t>
    </r>
    <r>
      <rPr>
        <vertAlign val="superscript"/>
        <sz val="9"/>
        <rFont val="Arial"/>
        <family val="2"/>
      </rPr>
      <t>2</t>
    </r>
  </si>
  <si>
    <t>excentricité constatée sur site</t>
  </si>
  <si>
    <r>
      <t xml:space="preserve">largeur </t>
    </r>
    <r>
      <rPr>
        <sz val="9"/>
        <rFont val="Arial Narrow"/>
        <family val="2"/>
      </rPr>
      <t>(= 0 si pas de longrine)</t>
    </r>
  </si>
  <si>
    <r>
      <t>= N</t>
    </r>
    <r>
      <rPr>
        <vertAlign val="subscript"/>
        <sz val="9"/>
        <rFont val="Arial"/>
        <family val="2"/>
      </rPr>
      <t>Ed</t>
    </r>
    <r>
      <rPr>
        <sz val="9"/>
        <rFont val="Arial"/>
        <family val="2"/>
      </rPr>
      <t>.e</t>
    </r>
    <r>
      <rPr>
        <vertAlign val="subscript"/>
        <sz val="9"/>
        <rFont val="Arial"/>
        <family val="2"/>
      </rPr>
      <t>constaté</t>
    </r>
  </si>
  <si>
    <t>limite élastique</t>
  </si>
  <si>
    <t>N° 115</t>
  </si>
  <si>
    <t>H. Thonier</t>
  </si>
  <si>
    <t>L'auteur n'est pas</t>
  </si>
  <si>
    <t>responsable de</t>
  </si>
  <si>
    <t>l'utilisation faite</t>
  </si>
  <si>
    <t>de ce programme</t>
  </si>
  <si>
    <t>pour tous les bétons</t>
  </si>
  <si>
    <t>pour tous les aciers</t>
  </si>
  <si>
    <t>Pieux excentrés corrigés par longrines - Méthode des moments</t>
  </si>
  <si>
    <r>
      <t>e</t>
    </r>
    <r>
      <rPr>
        <vertAlign val="subscript"/>
        <sz val="9"/>
        <rFont val="Arial"/>
        <family val="2"/>
      </rPr>
      <t>pieu,tolérée</t>
    </r>
  </si>
  <si>
    <r>
      <t>e</t>
    </r>
    <r>
      <rPr>
        <vertAlign val="subscript"/>
        <sz val="9"/>
        <rFont val="Arial"/>
        <family val="2"/>
      </rPr>
      <t>pieu,résistante</t>
    </r>
  </si>
  <si>
    <t>diagramme interaction pieu</t>
  </si>
  <si>
    <r>
      <t>e</t>
    </r>
    <r>
      <rPr>
        <vertAlign val="subscript"/>
        <sz val="9"/>
        <rFont val="Arial"/>
        <family val="2"/>
      </rPr>
      <t>a</t>
    </r>
  </si>
  <si>
    <t>excentricité limite</t>
  </si>
  <si>
    <t>Matériaux longrines</t>
  </si>
  <si>
    <t>M</t>
  </si>
  <si>
    <t>Moment à reprendre par les longrines</t>
  </si>
  <si>
    <r>
      <t>M</t>
    </r>
    <r>
      <rPr>
        <vertAlign val="subscript"/>
        <sz val="9"/>
        <rFont val="Arial"/>
        <family val="2"/>
      </rPr>
      <t>Ed</t>
    </r>
  </si>
  <si>
    <r>
      <t>f</t>
    </r>
    <r>
      <rPr>
        <vertAlign val="subscript"/>
        <sz val="9"/>
        <rFont val="Arial"/>
        <family val="2"/>
      </rPr>
      <t>cd</t>
    </r>
  </si>
  <si>
    <t>contrainte calcul acier</t>
  </si>
  <si>
    <t>contrainte calcul béton</t>
  </si>
  <si>
    <t>résistance béton des longrines</t>
  </si>
  <si>
    <t>d</t>
  </si>
  <si>
    <t xml:space="preserve">hauteur totale </t>
  </si>
  <si>
    <t>hauteur utile</t>
  </si>
  <si>
    <t>x</t>
  </si>
  <si>
    <r>
      <t>e</t>
    </r>
    <r>
      <rPr>
        <vertAlign val="subscript"/>
        <sz val="9"/>
        <rFont val="Arial"/>
        <family val="2"/>
      </rPr>
      <t>s</t>
    </r>
  </si>
  <si>
    <r>
      <t>s</t>
    </r>
    <r>
      <rPr>
        <vertAlign val="subscript"/>
        <sz val="9"/>
        <rFont val="Arial"/>
        <family val="2"/>
      </rPr>
      <t>s</t>
    </r>
  </si>
  <si>
    <t>z</t>
  </si>
  <si>
    <r>
      <t>A</t>
    </r>
    <r>
      <rPr>
        <vertAlign val="subscript"/>
        <sz val="9"/>
        <rFont val="Arial"/>
        <family val="2"/>
      </rPr>
      <t>s</t>
    </r>
  </si>
  <si>
    <t>‰</t>
  </si>
  <si>
    <t>B</t>
  </si>
  <si>
    <t>classe A, B, C ou D (palier)</t>
  </si>
  <si>
    <t>classe</t>
  </si>
  <si>
    <t>A</t>
  </si>
  <si>
    <t>C</t>
  </si>
  <si>
    <r>
      <t>e</t>
    </r>
    <r>
      <rPr>
        <vertAlign val="subscript"/>
        <sz val="9"/>
        <rFont val="Arial"/>
        <family val="2"/>
      </rPr>
      <t>uk</t>
    </r>
  </si>
  <si>
    <r>
      <t>e</t>
    </r>
    <r>
      <rPr>
        <vertAlign val="subscript"/>
        <sz val="9"/>
        <rFont val="Arial"/>
        <family val="2"/>
      </rPr>
      <t>cu</t>
    </r>
  </si>
  <si>
    <r>
      <t>x</t>
    </r>
    <r>
      <rPr>
        <vertAlign val="subscript"/>
        <sz val="9"/>
        <rFont val="Arial"/>
        <family val="2"/>
      </rPr>
      <t>0</t>
    </r>
  </si>
  <si>
    <r>
      <t>m</t>
    </r>
    <r>
      <rPr>
        <vertAlign val="subscript"/>
        <sz val="9"/>
        <rFont val="Arial"/>
        <family val="2"/>
      </rPr>
      <t>0</t>
    </r>
  </si>
  <si>
    <t>même taux de sollicitations</t>
  </si>
  <si>
    <t>Une ou deux longrines au choix</t>
  </si>
  <si>
    <t>Résultats</t>
  </si>
  <si>
    <t>moment repris par chaque longrine</t>
  </si>
  <si>
    <t>allongement armature</t>
  </si>
  <si>
    <t>contrainte acier</t>
  </si>
  <si>
    <t>bras de levier</t>
  </si>
  <si>
    <t>section d'armatures</t>
  </si>
  <si>
    <t>acier</t>
  </si>
  <si>
    <t>allongement acier</t>
  </si>
  <si>
    <t>raccourcissement béton</t>
  </si>
  <si>
    <t>fibre neutre</t>
  </si>
  <si>
    <t>excentricité tolérée suivant norme pieu</t>
  </si>
  <si>
    <t>octobre 2012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</si>
</sst>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0000"/>
    <numFmt numFmtId="167" formatCode="0.000000000"/>
    <numFmt numFmtId="168" formatCode="0.00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15">
    <font>
      <sz val="9"/>
      <name val="Arial"/>
      <family val="0"/>
    </font>
    <font>
      <vertAlign val="superscript"/>
      <sz val="9"/>
      <name val="Arial"/>
      <family val="2"/>
    </font>
    <font>
      <sz val="9"/>
      <name val="Symbol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vertAlign val="subscript"/>
      <sz val="9"/>
      <name val="Arial"/>
      <family val="2"/>
    </font>
    <font>
      <sz val="9"/>
      <name val="Helv"/>
      <family val="0"/>
    </font>
    <font>
      <b/>
      <sz val="9"/>
      <name val="Arial"/>
      <family val="2"/>
    </font>
    <font>
      <sz val="9"/>
      <name val="Arial Narrow"/>
      <family val="2"/>
    </font>
    <font>
      <sz val="9"/>
      <color indexed="12"/>
      <name val="Arial Narrow"/>
      <family val="2"/>
    </font>
    <font>
      <b/>
      <sz val="8"/>
      <name val="Tahoma"/>
      <family val="0"/>
    </font>
    <font>
      <sz val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ck"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thick"/>
      <right style="thin"/>
      <top style="thick"/>
      <bottom style="hair"/>
    </border>
    <border>
      <left style="thin"/>
      <right style="thick"/>
      <top style="thick"/>
      <bottom style="hair"/>
    </border>
    <border>
      <left style="thick"/>
      <right style="thin"/>
      <top style="hair"/>
      <bottom style="hair"/>
    </border>
    <border>
      <left style="thin"/>
      <right style="thick"/>
      <top style="hair"/>
      <bottom style="hair"/>
    </border>
    <border>
      <left style="thick"/>
      <right style="thin"/>
      <top style="hair"/>
      <bottom style="thick"/>
    </border>
    <border>
      <left style="thin"/>
      <right style="thick"/>
      <top style="hair"/>
      <bottom style="thick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1" fontId="0" fillId="0" borderId="2" xfId="0" applyNumberFormat="1" applyFont="1" applyBorder="1" applyAlignment="1" applyProtection="1">
      <alignment horizontal="center"/>
      <protection/>
    </xf>
    <xf numFmtId="1" fontId="0" fillId="0" borderId="3" xfId="0" applyNumberFormat="1" applyFont="1" applyBorder="1" applyAlignment="1" applyProtection="1">
      <alignment horizontal="center"/>
      <protection/>
    </xf>
    <xf numFmtId="1" fontId="0" fillId="0" borderId="4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 quotePrefix="1">
      <alignment horizontal="center"/>
      <protection/>
    </xf>
    <xf numFmtId="0" fontId="0" fillId="0" borderId="7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7" fontId="11" fillId="0" borderId="0" xfId="0" applyNumberFormat="1" applyFont="1" applyBorder="1" applyAlignment="1" quotePrefix="1">
      <alignment horizontal="center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horizontal="center"/>
      <protection locked="0"/>
    </xf>
    <xf numFmtId="0" fontId="0" fillId="2" borderId="17" xfId="0" applyFont="1" applyFill="1" applyBorder="1" applyAlignment="1" applyProtection="1">
      <alignment horizontal="center"/>
      <protection locked="0"/>
    </xf>
    <xf numFmtId="0" fontId="0" fillId="2" borderId="18" xfId="0" applyFont="1" applyFill="1" applyBorder="1" applyAlignment="1" applyProtection="1">
      <alignment horizontal="center"/>
      <protection locked="0"/>
    </xf>
    <xf numFmtId="0" fontId="0" fillId="2" borderId="19" xfId="0" applyFont="1" applyFill="1" applyBorder="1" applyAlignment="1" applyProtection="1">
      <alignment horizontal="center"/>
      <protection locked="0"/>
    </xf>
    <xf numFmtId="0" fontId="0" fillId="2" borderId="20" xfId="0" applyFont="1" applyFill="1" applyBorder="1" applyAlignment="1" applyProtection="1">
      <alignment horizontal="center"/>
      <protection locked="0"/>
    </xf>
    <xf numFmtId="0" fontId="0" fillId="0" borderId="21" xfId="0" applyFont="1" applyBorder="1" applyAlignment="1">
      <alignment horizontal="center"/>
    </xf>
    <xf numFmtId="174" fontId="0" fillId="0" borderId="11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2" fontId="0" fillId="0" borderId="21" xfId="0" applyNumberForma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E68"/>
  <sheetViews>
    <sheetView showGridLines="0" tabSelected="1" view="pageBreakPreview" zoomScaleSheetLayoutView="100" workbookViewId="0" topLeftCell="B1">
      <selection activeCell="C6" sqref="C6"/>
    </sheetView>
  </sheetViews>
  <sheetFormatPr defaultColWidth="11.421875" defaultRowHeight="12.75" customHeight="1"/>
  <cols>
    <col min="1" max="1" width="5.8515625" style="1" customWidth="1"/>
    <col min="2" max="2" width="6.140625" style="2" customWidth="1"/>
    <col min="3" max="3" width="6.421875" style="2" customWidth="1"/>
    <col min="4" max="4" width="7.57421875" style="2" customWidth="1"/>
    <col min="5" max="5" width="6.57421875" style="2" customWidth="1"/>
    <col min="6" max="6" width="7.28125" style="2" customWidth="1"/>
    <col min="7" max="7" width="6.57421875" style="2" customWidth="1"/>
    <col min="8" max="8" width="7.00390625" style="2" customWidth="1"/>
    <col min="9" max="9" width="5.8515625" style="2" customWidth="1"/>
    <col min="10" max="10" width="6.140625" style="2" customWidth="1"/>
    <col min="11" max="11" width="7.00390625" style="2" customWidth="1"/>
    <col min="12" max="14" width="5.8515625" style="2" customWidth="1"/>
    <col min="15" max="15" width="5.8515625" style="1" customWidth="1"/>
    <col min="16" max="16" width="7.140625" style="1" customWidth="1"/>
    <col min="17" max="32" width="5.8515625" style="1" customWidth="1"/>
    <col min="33" max="33" width="6.28125" style="1" customWidth="1"/>
    <col min="34" max="39" width="6.7109375" style="1" customWidth="1"/>
    <col min="40" max="40" width="7.8515625" style="1" customWidth="1"/>
    <col min="41" max="41" width="6.7109375" style="1" customWidth="1"/>
    <col min="42" max="16384" width="11.421875" style="1" customWidth="1"/>
  </cols>
  <sheetData>
    <row r="1" spans="1:41" ht="12.75" customHeight="1">
      <c r="A1" s="23" t="s">
        <v>44</v>
      </c>
      <c r="K1" s="2" t="s">
        <v>36</v>
      </c>
      <c r="M1" s="36" t="s">
        <v>37</v>
      </c>
      <c r="AG1" s="2"/>
      <c r="AH1" s="8" t="s">
        <v>11</v>
      </c>
      <c r="AI1" s="9"/>
      <c r="AJ1" s="9"/>
      <c r="AK1" s="9"/>
      <c r="AL1" s="9"/>
      <c r="AM1" s="9"/>
      <c r="AN1" s="9"/>
      <c r="AO1" s="9"/>
    </row>
    <row r="2" spans="13:41" ht="12.75" customHeight="1">
      <c r="M2" s="37" t="s">
        <v>89</v>
      </c>
      <c r="AG2" s="2"/>
      <c r="AH2" s="10">
        <v>1</v>
      </c>
      <c r="AI2" s="11">
        <v>2</v>
      </c>
      <c r="AJ2" s="11">
        <v>3</v>
      </c>
      <c r="AK2" s="11">
        <v>4</v>
      </c>
      <c r="AL2" s="11">
        <v>5</v>
      </c>
      <c r="AM2" s="11">
        <v>6</v>
      </c>
      <c r="AN2" s="11">
        <v>7</v>
      </c>
      <c r="AO2" s="12">
        <v>8</v>
      </c>
    </row>
    <row r="3" spans="1:41" ht="12.75" customHeight="1">
      <c r="A3" s="23" t="s">
        <v>77</v>
      </c>
      <c r="M3" s="36" t="s">
        <v>38</v>
      </c>
      <c r="AG3" s="2"/>
      <c r="AH3" s="13" t="s">
        <v>12</v>
      </c>
      <c r="AI3" s="13" t="s">
        <v>13</v>
      </c>
      <c r="AJ3" s="13" t="s">
        <v>14</v>
      </c>
      <c r="AK3" s="4" t="s">
        <v>15</v>
      </c>
      <c r="AL3" s="4" t="s">
        <v>16</v>
      </c>
      <c r="AM3" s="4" t="s">
        <v>17</v>
      </c>
      <c r="AN3" s="4" t="s">
        <v>18</v>
      </c>
      <c r="AO3" s="14" t="s">
        <v>19</v>
      </c>
    </row>
    <row r="4" spans="13:41" ht="12.75" customHeight="1">
      <c r="M4" s="36" t="s">
        <v>39</v>
      </c>
      <c r="AG4" s="2"/>
      <c r="AH4" s="13">
        <v>12</v>
      </c>
      <c r="AI4" s="15">
        <v>1.6</v>
      </c>
      <c r="AJ4" s="15">
        <v>27</v>
      </c>
      <c r="AK4" s="15">
        <v>3.5</v>
      </c>
      <c r="AL4" s="15">
        <v>1.8</v>
      </c>
      <c r="AM4" s="15">
        <v>3.5</v>
      </c>
      <c r="AN4" s="15">
        <v>2</v>
      </c>
      <c r="AO4" s="14">
        <v>2</v>
      </c>
    </row>
    <row r="5" spans="1:41" ht="12.75" customHeight="1" thickBot="1">
      <c r="A5" s="20" t="s">
        <v>20</v>
      </c>
      <c r="M5" s="36" t="s">
        <v>40</v>
      </c>
      <c r="U5" s="2"/>
      <c r="AG5" s="2"/>
      <c r="AH5" s="13">
        <v>16</v>
      </c>
      <c r="AI5" s="15">
        <v>1.9</v>
      </c>
      <c r="AJ5" s="15">
        <v>29</v>
      </c>
      <c r="AK5" s="15">
        <v>3.5</v>
      </c>
      <c r="AL5" s="15">
        <v>1.9</v>
      </c>
      <c r="AM5" s="15">
        <v>3.5</v>
      </c>
      <c r="AN5" s="15">
        <v>2</v>
      </c>
      <c r="AO5" s="14">
        <v>2</v>
      </c>
    </row>
    <row r="6" spans="2:41" ht="12.75" customHeight="1" thickTop="1">
      <c r="B6" s="24" t="s">
        <v>6</v>
      </c>
      <c r="C6" s="38">
        <v>2.418</v>
      </c>
      <c r="D6" s="30" t="s">
        <v>9</v>
      </c>
      <c r="E6" s="6" t="s">
        <v>21</v>
      </c>
      <c r="M6" s="36" t="s">
        <v>41</v>
      </c>
      <c r="U6" s="2"/>
      <c r="AG6" s="2"/>
      <c r="AH6" s="13">
        <v>20</v>
      </c>
      <c r="AI6" s="15">
        <v>2.2</v>
      </c>
      <c r="AJ6" s="15">
        <v>30</v>
      </c>
      <c r="AK6" s="15">
        <v>3.5</v>
      </c>
      <c r="AL6" s="15">
        <v>2</v>
      </c>
      <c r="AM6" s="15">
        <v>3.5</v>
      </c>
      <c r="AN6" s="15">
        <v>2</v>
      </c>
      <c r="AO6" s="14">
        <v>2</v>
      </c>
    </row>
    <row r="7" spans="2:41" ht="15" customHeight="1">
      <c r="B7" s="24" t="s">
        <v>7</v>
      </c>
      <c r="C7" s="39">
        <v>0.14</v>
      </c>
      <c r="D7" s="30" t="s">
        <v>2</v>
      </c>
      <c r="E7" s="6" t="s">
        <v>32</v>
      </c>
      <c r="AG7" s="2"/>
      <c r="AH7" s="13">
        <v>25</v>
      </c>
      <c r="AI7" s="15">
        <v>2.6</v>
      </c>
      <c r="AJ7" s="15">
        <v>31</v>
      </c>
      <c r="AK7" s="15">
        <v>3.5</v>
      </c>
      <c r="AL7" s="15">
        <v>2.1</v>
      </c>
      <c r="AM7" s="15">
        <v>3.5</v>
      </c>
      <c r="AN7" s="15">
        <v>2</v>
      </c>
      <c r="AO7" s="14">
        <v>2</v>
      </c>
    </row>
    <row r="8" spans="2:41" ht="13.5" customHeight="1">
      <c r="B8" s="24" t="s">
        <v>45</v>
      </c>
      <c r="C8" s="39">
        <v>0.094</v>
      </c>
      <c r="D8" s="30" t="s">
        <v>2</v>
      </c>
      <c r="E8" s="6" t="s">
        <v>88</v>
      </c>
      <c r="O8" s="2"/>
      <c r="AG8" s="2"/>
      <c r="AH8" s="13">
        <v>30</v>
      </c>
      <c r="AI8" s="15">
        <v>2.9</v>
      </c>
      <c r="AJ8" s="15">
        <v>33</v>
      </c>
      <c r="AK8" s="15">
        <v>3.5</v>
      </c>
      <c r="AL8" s="15">
        <v>2.2</v>
      </c>
      <c r="AM8" s="15">
        <v>3.5</v>
      </c>
      <c r="AN8" s="15">
        <v>2</v>
      </c>
      <c r="AO8" s="14">
        <v>2</v>
      </c>
    </row>
    <row r="9" spans="2:41" ht="12.75" customHeight="1" thickBot="1">
      <c r="B9" s="24" t="s">
        <v>46</v>
      </c>
      <c r="C9" s="40">
        <f>0.6/8</f>
        <v>0.075</v>
      </c>
      <c r="D9" s="30" t="s">
        <v>2</v>
      </c>
      <c r="E9" s="6" t="s">
        <v>47</v>
      </c>
      <c r="O9" s="2"/>
      <c r="AG9" s="2"/>
      <c r="AH9" s="16">
        <v>35</v>
      </c>
      <c r="AI9" s="15">
        <v>3.2</v>
      </c>
      <c r="AJ9" s="15">
        <v>34</v>
      </c>
      <c r="AK9" s="15">
        <v>3.5</v>
      </c>
      <c r="AL9" s="15">
        <v>2.25</v>
      </c>
      <c r="AM9" s="15">
        <v>3.5</v>
      </c>
      <c r="AN9" s="15">
        <v>2</v>
      </c>
      <c r="AO9" s="14">
        <v>2</v>
      </c>
    </row>
    <row r="10" spans="15:41" ht="13.5" customHeight="1" thickTop="1">
      <c r="O10" s="2"/>
      <c r="AG10" s="2"/>
      <c r="AH10" s="16">
        <v>40</v>
      </c>
      <c r="AI10" s="15">
        <v>3.5</v>
      </c>
      <c r="AJ10" s="15">
        <v>35</v>
      </c>
      <c r="AK10" s="15">
        <v>3.5</v>
      </c>
      <c r="AL10" s="15">
        <v>2.3</v>
      </c>
      <c r="AM10" s="15">
        <v>3.5</v>
      </c>
      <c r="AN10" s="15">
        <v>2</v>
      </c>
      <c r="AO10" s="14">
        <v>2</v>
      </c>
    </row>
    <row r="11" spans="1:41" ht="14.25" customHeight="1" thickBot="1">
      <c r="A11" s="23" t="s">
        <v>50</v>
      </c>
      <c r="O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3">
        <v>45</v>
      </c>
      <c r="AI11" s="15">
        <v>3.8</v>
      </c>
      <c r="AJ11" s="15">
        <v>36</v>
      </c>
      <c r="AK11" s="15">
        <v>3.5</v>
      </c>
      <c r="AL11" s="15">
        <v>2.4</v>
      </c>
      <c r="AM11" s="15">
        <v>3.5</v>
      </c>
      <c r="AN11" s="15">
        <v>2</v>
      </c>
      <c r="AO11" s="14">
        <v>2</v>
      </c>
    </row>
    <row r="12" spans="2:41" ht="12.75" customHeight="1" thickTop="1">
      <c r="B12" s="24" t="s">
        <v>12</v>
      </c>
      <c r="C12" s="38">
        <v>25</v>
      </c>
      <c r="D12" s="30" t="s">
        <v>8</v>
      </c>
      <c r="E12" s="6" t="s">
        <v>57</v>
      </c>
      <c r="O12" s="4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3">
        <v>50</v>
      </c>
      <c r="AI12" s="15">
        <v>4.1</v>
      </c>
      <c r="AJ12" s="15">
        <v>37</v>
      </c>
      <c r="AK12" s="15">
        <v>3.5</v>
      </c>
      <c r="AL12" s="15">
        <v>2.45</v>
      </c>
      <c r="AM12" s="15">
        <v>3.5</v>
      </c>
      <c r="AN12" s="15">
        <v>2</v>
      </c>
      <c r="AO12" s="14">
        <v>2</v>
      </c>
    </row>
    <row r="13" spans="2:41" ht="12.75" customHeight="1">
      <c r="B13" s="25" t="s">
        <v>27</v>
      </c>
      <c r="C13" s="39">
        <v>1.5</v>
      </c>
      <c r="D13" s="30"/>
      <c r="E13" s="6" t="s">
        <v>42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3">
        <v>55</v>
      </c>
      <c r="AI13" s="15">
        <v>4.2</v>
      </c>
      <c r="AJ13" s="15">
        <v>38</v>
      </c>
      <c r="AK13" s="15">
        <v>3.2</v>
      </c>
      <c r="AL13" s="15">
        <v>2.5</v>
      </c>
      <c r="AM13" s="32">
        <v>3.1</v>
      </c>
      <c r="AN13" s="15">
        <v>2.2</v>
      </c>
      <c r="AO13" s="14">
        <v>1.75</v>
      </c>
    </row>
    <row r="14" spans="2:41" ht="12.75" customHeight="1">
      <c r="B14" s="24" t="s">
        <v>28</v>
      </c>
      <c r="C14" s="39">
        <v>500</v>
      </c>
      <c r="D14" s="30" t="s">
        <v>8</v>
      </c>
      <c r="E14" s="6" t="s">
        <v>35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3">
        <v>60</v>
      </c>
      <c r="AI14" s="15">
        <v>4.4</v>
      </c>
      <c r="AJ14" s="15">
        <v>39</v>
      </c>
      <c r="AK14" s="15">
        <v>3</v>
      </c>
      <c r="AL14" s="15">
        <v>2.6</v>
      </c>
      <c r="AM14" s="15">
        <v>2.9</v>
      </c>
      <c r="AN14" s="15">
        <v>2.3</v>
      </c>
      <c r="AO14" s="14">
        <v>1.6</v>
      </c>
    </row>
    <row r="15" spans="2:41" ht="12.75" customHeight="1">
      <c r="B15" s="25" t="s">
        <v>29</v>
      </c>
      <c r="C15" s="39">
        <v>1.15</v>
      </c>
      <c r="D15" s="30"/>
      <c r="E15" s="6" t="s">
        <v>43</v>
      </c>
      <c r="I15" s="24" t="s">
        <v>48</v>
      </c>
      <c r="J15" s="27">
        <f>MAX(C8,C9)</f>
        <v>0.094</v>
      </c>
      <c r="K15" s="6" t="s">
        <v>2</v>
      </c>
      <c r="L15" s="6" t="s">
        <v>49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3">
        <v>70</v>
      </c>
      <c r="AI15" s="15">
        <v>4.6</v>
      </c>
      <c r="AJ15" s="15">
        <v>41</v>
      </c>
      <c r="AK15" s="15">
        <v>2.8</v>
      </c>
      <c r="AL15" s="15">
        <v>2.7</v>
      </c>
      <c r="AM15" s="15">
        <v>2.7</v>
      </c>
      <c r="AN15" s="15">
        <v>2.4</v>
      </c>
      <c r="AO15" s="14">
        <v>1.45</v>
      </c>
    </row>
    <row r="16" spans="1:41" ht="12.75" customHeight="1" thickBot="1">
      <c r="A16" s="52"/>
      <c r="B16" s="24" t="s">
        <v>69</v>
      </c>
      <c r="C16" s="51" t="s">
        <v>4</v>
      </c>
      <c r="E16" s="6" t="s">
        <v>68</v>
      </c>
      <c r="I16" s="24" t="s">
        <v>30</v>
      </c>
      <c r="J16" s="29">
        <f>C14/C15</f>
        <v>434.7826086956522</v>
      </c>
      <c r="K16" s="30" t="s">
        <v>8</v>
      </c>
      <c r="L16" s="6" t="s">
        <v>55</v>
      </c>
      <c r="O16" s="50"/>
      <c r="P16" s="2"/>
      <c r="Q16" s="2"/>
      <c r="R16" s="2"/>
      <c r="S16" s="2"/>
      <c r="T16"/>
      <c r="U16"/>
      <c r="V16"/>
      <c r="W1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3">
        <v>80</v>
      </c>
      <c r="AI16" s="15">
        <v>4.8</v>
      </c>
      <c r="AJ16" s="15">
        <v>42</v>
      </c>
      <c r="AK16" s="15">
        <v>2.8</v>
      </c>
      <c r="AL16" s="15">
        <v>2.8</v>
      </c>
      <c r="AM16" s="15">
        <v>2.6</v>
      </c>
      <c r="AN16" s="15">
        <v>2.5</v>
      </c>
      <c r="AO16" s="14">
        <v>1.4</v>
      </c>
    </row>
    <row r="17" spans="9:41" ht="12.75" customHeight="1" thickTop="1">
      <c r="I17" s="24" t="s">
        <v>0</v>
      </c>
      <c r="J17" s="65">
        <f>VLOOKUP(C$16,tabac,2)</f>
        <v>1</v>
      </c>
      <c r="L17" s="6" t="s">
        <v>84</v>
      </c>
      <c r="O17" s="2"/>
      <c r="P17" s="2"/>
      <c r="R17"/>
      <c r="T17"/>
      <c r="U17"/>
      <c r="V17"/>
      <c r="W17"/>
      <c r="AG17" s="2"/>
      <c r="AH17" s="17">
        <v>90</v>
      </c>
      <c r="AI17" s="18">
        <v>5</v>
      </c>
      <c r="AJ17" s="18">
        <v>44</v>
      </c>
      <c r="AK17" s="18">
        <v>2.8</v>
      </c>
      <c r="AL17" s="18">
        <v>2.8</v>
      </c>
      <c r="AM17" s="18">
        <v>2.6</v>
      </c>
      <c r="AN17" s="18">
        <v>2.6</v>
      </c>
      <c r="AO17" s="19">
        <v>1.4</v>
      </c>
    </row>
    <row r="18" spans="1:32" ht="12.75" customHeight="1">
      <c r="A18" s="22" t="s">
        <v>22</v>
      </c>
      <c r="I18" s="25" t="s">
        <v>72</v>
      </c>
      <c r="J18" s="65">
        <f>VLOOKUP(C$16,tabac,3)</f>
        <v>75</v>
      </c>
      <c r="K18" s="56" t="s">
        <v>66</v>
      </c>
      <c r="L18" s="6" t="s">
        <v>85</v>
      </c>
      <c r="M18" s="50"/>
      <c r="O18" s="2"/>
      <c r="P18" s="2"/>
      <c r="Q18" s="2"/>
      <c r="R18"/>
      <c r="S18" s="2"/>
      <c r="T18"/>
      <c r="U18"/>
      <c r="V18"/>
      <c r="W18"/>
      <c r="X18" s="2"/>
      <c r="Y18" s="2"/>
      <c r="Z18" s="2"/>
      <c r="AA18" s="2"/>
      <c r="AB18" s="2"/>
      <c r="AC18" s="2"/>
      <c r="AD18" s="2"/>
      <c r="AE18" s="2"/>
      <c r="AF18" s="2"/>
    </row>
    <row r="19" spans="2:40" ht="12.75" customHeight="1" thickBot="1">
      <c r="B19" s="2" t="s">
        <v>23</v>
      </c>
      <c r="C19" s="2" t="s">
        <v>24</v>
      </c>
      <c r="D19" s="33"/>
      <c r="E19" s="34"/>
      <c r="I19" s="24" t="s">
        <v>54</v>
      </c>
      <c r="J19" s="28">
        <f>C12/C13</f>
        <v>16.666666666666668</v>
      </c>
      <c r="K19" s="30" t="s">
        <v>8</v>
      </c>
      <c r="L19" s="6" t="s">
        <v>56</v>
      </c>
      <c r="M19" s="50"/>
      <c r="O19" s="2"/>
      <c r="P19"/>
      <c r="Q19"/>
      <c r="R19"/>
      <c r="S19"/>
      <c r="T19"/>
      <c r="U19"/>
      <c r="V19"/>
      <c r="W19"/>
      <c r="X19" s="2"/>
      <c r="Y19" s="2"/>
      <c r="Z19" s="2"/>
      <c r="AA19" s="2"/>
      <c r="AB19" s="2"/>
      <c r="AC19" s="2"/>
      <c r="AD19" s="2"/>
      <c r="AE19" s="2"/>
      <c r="AF19" s="2"/>
      <c r="AM19" s="24"/>
      <c r="AN19" s="35"/>
    </row>
    <row r="20" spans="1:57" ht="12.75" customHeight="1" thickTop="1">
      <c r="A20" s="24" t="s">
        <v>1</v>
      </c>
      <c r="B20" s="41">
        <v>0.25</v>
      </c>
      <c r="C20" s="42"/>
      <c r="D20" s="6" t="s">
        <v>2</v>
      </c>
      <c r="E20" s="6" t="s">
        <v>33</v>
      </c>
      <c r="H20" s="34"/>
      <c r="I20" s="25" t="s">
        <v>73</v>
      </c>
      <c r="J20" s="28">
        <f>VLOOKUP(C12,tabfck,6)</f>
        <v>3.5</v>
      </c>
      <c r="K20" s="56" t="s">
        <v>66</v>
      </c>
      <c r="L20" s="6" t="s">
        <v>86</v>
      </c>
      <c r="M20" s="50"/>
      <c r="O20"/>
      <c r="P20"/>
      <c r="Q20"/>
      <c r="R20"/>
      <c r="S20"/>
      <c r="T20"/>
      <c r="U20"/>
      <c r="V20"/>
      <c r="W20"/>
      <c r="X20" s="2"/>
      <c r="Y20" s="2"/>
      <c r="Z20" s="2"/>
      <c r="AA20" s="2"/>
      <c r="AB20" s="2"/>
      <c r="AC20" s="2"/>
      <c r="AD20" s="2"/>
      <c r="AE20" s="2"/>
      <c r="AF20" s="2"/>
      <c r="AH20" s="58" t="s">
        <v>70</v>
      </c>
      <c r="AI20" s="59">
        <v>1.05</v>
      </c>
      <c r="AJ20" s="60">
        <v>25</v>
      </c>
      <c r="AK20" s="2"/>
      <c r="AL20" s="2"/>
      <c r="AM20" s="2"/>
      <c r="AN20" s="5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</row>
    <row r="21" spans="1:57" ht="12.75" customHeight="1">
      <c r="A21" s="24" t="s">
        <v>3</v>
      </c>
      <c r="B21" s="43">
        <v>0.45</v>
      </c>
      <c r="C21" s="44"/>
      <c r="D21" s="6" t="s">
        <v>2</v>
      </c>
      <c r="E21" s="6" t="s">
        <v>59</v>
      </c>
      <c r="I21" s="24" t="s">
        <v>5</v>
      </c>
      <c r="J21" s="28">
        <f>C6*C7</f>
        <v>0.33852000000000004</v>
      </c>
      <c r="K21" s="30" t="s">
        <v>10</v>
      </c>
      <c r="L21" s="26" t="s">
        <v>34</v>
      </c>
      <c r="O21"/>
      <c r="P21"/>
      <c r="Q21"/>
      <c r="R21"/>
      <c r="S21"/>
      <c r="T21"/>
      <c r="U21"/>
      <c r="V21"/>
      <c r="W21"/>
      <c r="X21" s="2"/>
      <c r="Y21" s="2"/>
      <c r="Z21" s="2"/>
      <c r="AA21" s="2"/>
      <c r="AB21" s="2"/>
      <c r="AC21" s="2"/>
      <c r="AD21" s="2"/>
      <c r="AE21" s="2"/>
      <c r="AF21" s="2"/>
      <c r="AH21" s="61" t="s">
        <v>67</v>
      </c>
      <c r="AI21" s="2">
        <v>1.08</v>
      </c>
      <c r="AJ21" s="62">
        <v>50</v>
      </c>
      <c r="AK21" s="2"/>
      <c r="AL21" s="2"/>
      <c r="AM21" s="2"/>
      <c r="AN21" s="7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</row>
    <row r="22" spans="1:57" ht="12.75" customHeight="1" thickBot="1">
      <c r="A22" s="31" t="s">
        <v>25</v>
      </c>
      <c r="B22" s="45">
        <v>0.05</v>
      </c>
      <c r="C22" s="46"/>
      <c r="D22" s="6" t="s">
        <v>2</v>
      </c>
      <c r="E22" s="6" t="s">
        <v>26</v>
      </c>
      <c r="I22" s="25" t="s">
        <v>74</v>
      </c>
      <c r="J22" s="29">
        <f>J20/(J20+J16/200)</f>
        <v>0.6168582375478927</v>
      </c>
      <c r="L22" s="6"/>
      <c r="O22"/>
      <c r="P22"/>
      <c r="Q22"/>
      <c r="R22"/>
      <c r="S22"/>
      <c r="T22"/>
      <c r="U22"/>
      <c r="V22"/>
      <c r="W22"/>
      <c r="X22" s="2"/>
      <c r="Y22" s="2"/>
      <c r="Z22" s="2"/>
      <c r="AA22" s="2"/>
      <c r="AB22" s="2"/>
      <c r="AC22" s="2"/>
      <c r="AD22" s="2"/>
      <c r="AE22" s="2"/>
      <c r="AF22" s="2"/>
      <c r="AH22" s="63" t="s">
        <v>71</v>
      </c>
      <c r="AI22" s="2">
        <v>1.15</v>
      </c>
      <c r="AJ22" s="62">
        <v>75</v>
      </c>
      <c r="AK22" s="2"/>
      <c r="AL22" s="2"/>
      <c r="AM22" s="21"/>
      <c r="AN22" s="7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</row>
    <row r="23" spans="9:57" ht="12.75" customHeight="1" thickTop="1">
      <c r="I23" s="25" t="s">
        <v>75</v>
      </c>
      <c r="J23" s="47">
        <f>0.8*J22*(1-0.4*J22)</f>
        <v>0.37172208276449265</v>
      </c>
      <c r="L23" s="6"/>
      <c r="O23"/>
      <c r="P23" s="2"/>
      <c r="Q23" s="2"/>
      <c r="R23" s="2"/>
      <c r="S23" s="2"/>
      <c r="T23"/>
      <c r="U23"/>
      <c r="V23"/>
      <c r="W23"/>
      <c r="X23" s="2"/>
      <c r="Y23" s="2"/>
      <c r="Z23" s="2"/>
      <c r="AA23" s="2"/>
      <c r="AB23" s="2"/>
      <c r="AC23" s="2"/>
      <c r="AD23" s="2"/>
      <c r="AE23" s="2"/>
      <c r="AF23" s="2"/>
      <c r="AH23" s="54" t="s">
        <v>4</v>
      </c>
      <c r="AI23" s="64">
        <v>1</v>
      </c>
      <c r="AJ23" s="55">
        <v>75</v>
      </c>
      <c r="AK23" s="2"/>
      <c r="AL23" s="2"/>
      <c r="AM23" s="21"/>
      <c r="AN23" s="2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</row>
    <row r="24" spans="1:57" ht="12.75" customHeight="1">
      <c r="A24" s="23" t="s">
        <v>78</v>
      </c>
      <c r="I24"/>
      <c r="J24"/>
      <c r="K24"/>
      <c r="L24"/>
      <c r="M24"/>
      <c r="N24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H24" s="2"/>
      <c r="AI24" s="2"/>
      <c r="AJ24" s="2"/>
      <c r="AK24" s="2"/>
      <c r="AL24" s="2"/>
      <c r="AM24" s="21"/>
      <c r="AN24" s="49"/>
      <c r="AO24" s="2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</row>
    <row r="25" spans="1:57" ht="12.75" customHeight="1">
      <c r="A25" s="2" t="s">
        <v>53</v>
      </c>
      <c r="B25" s="3">
        <f>(C7-J15)*C6</f>
        <v>0.11122800000000004</v>
      </c>
      <c r="C25" s="2" t="s">
        <v>10</v>
      </c>
      <c r="D25" s="1" t="s">
        <v>52</v>
      </c>
      <c r="I25" s="21"/>
      <c r="J25"/>
      <c r="K25"/>
      <c r="L25"/>
      <c r="M25"/>
      <c r="N25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H25" s="2"/>
      <c r="AI25" s="2"/>
      <c r="AJ25" s="2"/>
      <c r="AK25" s="2"/>
      <c r="AL25" s="57"/>
      <c r="AM25" s="21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</row>
    <row r="26" spans="9:57" ht="12.75" customHeight="1">
      <c r="I26" s="21"/>
      <c r="J26"/>
      <c r="K26"/>
      <c r="L26"/>
      <c r="M26"/>
      <c r="N26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L26"/>
      <c r="AM26" s="31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</row>
    <row r="27" spans="1:57" ht="12.75" customHeight="1">
      <c r="A27" s="31" t="s">
        <v>58</v>
      </c>
      <c r="B27" s="66">
        <f>B21-B22</f>
        <v>0.4</v>
      </c>
      <c r="C27" s="66">
        <f>IF(C20=0,"",C21-C22)</f>
      </c>
      <c r="D27" s="6" t="s">
        <v>2</v>
      </c>
      <c r="E27" s="53" t="s">
        <v>60</v>
      </c>
      <c r="I27" s="21"/>
      <c r="J27"/>
      <c r="K27"/>
      <c r="L27"/>
      <c r="M27"/>
      <c r="N27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L27"/>
      <c r="AM27" s="31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</row>
    <row r="28" spans="1:57" ht="12.75" customHeight="1">
      <c r="A28" s="25" t="s">
        <v>2</v>
      </c>
      <c r="B28" s="29">
        <f>IF(C20=0,B25/(B20*B27^2)/J19,B25/(B20*B27^2+C20*C27^2)/J19)</f>
        <v>0.16684200000000002</v>
      </c>
      <c r="C28" s="29">
        <f>IF(C20=0,"",B28)</f>
      </c>
      <c r="D28" s="6"/>
      <c r="E28" s="6" t="s">
        <v>76</v>
      </c>
      <c r="I28" s="21"/>
      <c r="J28"/>
      <c r="K28"/>
      <c r="L28"/>
      <c r="N28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J28" s="2"/>
      <c r="AL28"/>
      <c r="AM28" s="31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</row>
    <row r="29" spans="1:57" ht="12.75" customHeight="1">
      <c r="A29" s="24" t="s">
        <v>51</v>
      </c>
      <c r="B29" s="29">
        <f>$B28*B20*B27^2*$J19</f>
        <v>0.11122800000000005</v>
      </c>
      <c r="C29" s="29">
        <f>IF(C20=0,"",$B28*C20*C27^2*$J19)</f>
      </c>
      <c r="D29" s="6" t="s">
        <v>10</v>
      </c>
      <c r="E29" s="6" t="s">
        <v>79</v>
      </c>
      <c r="I29" s="21"/>
      <c r="J29"/>
      <c r="K29"/>
      <c r="L29"/>
      <c r="N29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L29"/>
      <c r="AM29" s="31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</row>
    <row r="30" spans="1:57" ht="12.75" customHeight="1">
      <c r="A30" s="25" t="s">
        <v>61</v>
      </c>
      <c r="B30" s="29">
        <f>1.25*(1-SQRT(1-2*$B28))</f>
        <v>0.22964773239826639</v>
      </c>
      <c r="C30" s="29">
        <f>IF(C20=0,"",1.25*(1-SQRT(1-2*$B28)))</f>
      </c>
      <c r="D30" s="6"/>
      <c r="E30" s="6" t="s">
        <v>87</v>
      </c>
      <c r="I30" s="21"/>
      <c r="J30"/>
      <c r="K30"/>
      <c r="L30"/>
      <c r="M30"/>
      <c r="N30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L30"/>
      <c r="AM30" s="31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</row>
    <row r="31" spans="1:57" ht="12.75" customHeight="1">
      <c r="A31" s="25" t="s">
        <v>62</v>
      </c>
      <c r="B31" s="29">
        <f>MIN($J20*(1-B30)/B30,0.9*$J18)</f>
        <v>11.740733986130234</v>
      </c>
      <c r="C31" s="29">
        <f>IF(C20=0,"",MIN($J20*(1-C30)/C30,0.9*$J18))</f>
      </c>
      <c r="D31" s="56" t="s">
        <v>66</v>
      </c>
      <c r="E31" s="6" t="s">
        <v>80</v>
      </c>
      <c r="I31" s="21"/>
      <c r="J31"/>
      <c r="K31"/>
      <c r="L31"/>
      <c r="M31"/>
      <c r="N31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L31"/>
      <c r="AM31" s="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</row>
    <row r="32" spans="1:57" ht="12.75" customHeight="1">
      <c r="A32" s="25" t="s">
        <v>63</v>
      </c>
      <c r="B32" s="48">
        <f>$J16*(1+($J17-1)*(B31-muo)/($J18-muo))</f>
        <v>434.7826086956522</v>
      </c>
      <c r="C32" s="48">
        <f>IF(C20=0,"",$J16*(1+($J17-1)*(C31-muo)/($J18-muo)))</f>
      </c>
      <c r="D32" s="6" t="s">
        <v>8</v>
      </c>
      <c r="E32" s="6" t="s">
        <v>81</v>
      </c>
      <c r="I32" s="21"/>
      <c r="J32"/>
      <c r="K32"/>
      <c r="L32"/>
      <c r="M32"/>
      <c r="N3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L32"/>
      <c r="AM32" s="31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</row>
    <row r="33" spans="1:57" ht="12.75" customHeight="1">
      <c r="A33" s="24" t="s">
        <v>64</v>
      </c>
      <c r="B33" s="65">
        <f>B27*(1-0.4*$B30)</f>
        <v>0.3632563628162774</v>
      </c>
      <c r="C33" s="65">
        <f>IF(C20=0,"",C27*(1-0.4*$B30))</f>
      </c>
      <c r="D33" s="53" t="s">
        <v>2</v>
      </c>
      <c r="E33" s="6" t="s">
        <v>82</v>
      </c>
      <c r="F33"/>
      <c r="G33"/>
      <c r="H33"/>
      <c r="I33" s="21"/>
      <c r="J33"/>
      <c r="K33"/>
      <c r="L33"/>
      <c r="M33"/>
      <c r="N33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L33"/>
      <c r="AM33" s="31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</row>
    <row r="34" spans="1:57" ht="12.75" customHeight="1">
      <c r="A34" s="24" t="s">
        <v>65</v>
      </c>
      <c r="B34" s="67">
        <f>B29/B33/B32*10000</f>
        <v>7.042530460213502</v>
      </c>
      <c r="C34" s="67">
        <f>IF(C20=0,"",C29/C33/C32*10000)</f>
      </c>
      <c r="D34" s="53" t="s">
        <v>31</v>
      </c>
      <c r="E34" s="53" t="s">
        <v>83</v>
      </c>
      <c r="I34"/>
      <c r="J34"/>
      <c r="K34"/>
      <c r="L34"/>
      <c r="M34"/>
      <c r="N34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L34"/>
      <c r="AM34" s="31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</row>
    <row r="35" spans="10:57" ht="12.75" customHeight="1">
      <c r="J35"/>
      <c r="K35"/>
      <c r="L35"/>
      <c r="M35"/>
      <c r="N35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L35"/>
      <c r="AM35" s="31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</row>
    <row r="36" spans="10:57" ht="12.75" customHeight="1">
      <c r="J36"/>
      <c r="K36"/>
      <c r="L36"/>
      <c r="M36"/>
      <c r="N36"/>
      <c r="O36"/>
      <c r="P36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L36"/>
      <c r="AM36" s="31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</row>
    <row r="37" spans="5:57" ht="12.75" customHeight="1">
      <c r="E37"/>
      <c r="F37"/>
      <c r="G37"/>
      <c r="H37"/>
      <c r="I37"/>
      <c r="J37"/>
      <c r="K37"/>
      <c r="L37"/>
      <c r="M37"/>
      <c r="N37"/>
      <c r="O37"/>
      <c r="P37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L37"/>
      <c r="AM37" s="31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</row>
    <row r="38" spans="1:57" ht="12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L38"/>
      <c r="AM38" s="31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</row>
    <row r="39" spans="1:57" ht="12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</row>
    <row r="40" spans="1:57" ht="12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</row>
    <row r="41" spans="1:57" ht="12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</row>
    <row r="42" spans="1:57" ht="12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</row>
    <row r="43" spans="1:57" ht="12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</row>
    <row r="44" spans="1:57" ht="12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</row>
    <row r="45" spans="1:57" ht="12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</row>
    <row r="46" spans="1:57" ht="12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AG46" s="2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</row>
    <row r="47" spans="1:57" ht="12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AG47" s="2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</row>
    <row r="48" spans="1:57" ht="12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AG48" s="2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</row>
    <row r="49" spans="1:57" ht="12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AG49" s="2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</row>
    <row r="50" spans="1:57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AG50" s="2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</row>
    <row r="51" spans="1:57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AG51" s="2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</row>
    <row r="52" spans="1:57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AG52" s="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</row>
    <row r="53" spans="1:57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</row>
    <row r="54" spans="1:16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</sheetData>
  <sheetProtection password="DE57" sheet="1" objects="1" scenarios="1" selectLockedCells="1"/>
  <dataValidations count="2">
    <dataValidation type="list" allowBlank="1" showInputMessage="1" showErrorMessage="1" sqref="C16">
      <formula1>$AH$20:$AH$23</formula1>
    </dataValidation>
    <dataValidation type="list" allowBlank="1" showInputMessage="1" showErrorMessage="1" sqref="C12">
      <formula1>$AH$4:$AH$17</formula1>
    </dataValidation>
  </dataValidation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mactho1</dc:creator>
  <cp:keywords/>
  <dc:description/>
  <cp:lastModifiedBy>mactho1</cp:lastModifiedBy>
  <cp:lastPrinted>2010-04-06T16:18:51Z</cp:lastPrinted>
  <dcterms:created xsi:type="dcterms:W3CDTF">2010-04-05T10:04:37Z</dcterms:created>
  <dcterms:modified xsi:type="dcterms:W3CDTF">2012-10-09T15:46:00Z</dcterms:modified>
  <cp:category/>
  <cp:version/>
  <cp:contentType/>
  <cp:contentStatus/>
</cp:coreProperties>
</file>