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315" windowHeight="9750" activeTab="0"/>
  </bookViews>
  <sheets>
    <sheet name="Feuil1" sheetId="1" r:id="rId1"/>
    <sheet name="Feuil2" sheetId="2" r:id="rId2"/>
  </sheets>
  <definedNames>
    <definedName name="tabfck">'Feuil1'!$M$8:$T$21</definedName>
    <definedName name="_xlnm.Print_Area" localSheetId="0">'Feuil1'!$A$1:$K$61</definedName>
  </definedNames>
  <calcPr fullCalcOnLoad="1"/>
</workbook>
</file>

<file path=xl/comments1.xml><?xml version="1.0" encoding="utf-8"?>
<comments xmlns="http://schemas.openxmlformats.org/spreadsheetml/2006/main">
  <authors>
    <author>Henry</author>
  </authors>
  <commentList>
    <comment ref="D17" authorId="0">
      <text>
        <r>
          <rPr>
            <b/>
            <sz val="9"/>
            <rFont val="Tahoma"/>
            <family val="0"/>
          </rPr>
          <t xml:space="preserve">Voir FD P18-717, § 7.2-7.3
</t>
        </r>
        <r>
          <rPr>
            <sz val="9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9"/>
            <rFont val="Tahoma"/>
            <family val="0"/>
          </rPr>
          <t>Surtension faible, mais calculée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0"/>
          </rPr>
          <t>dans la travée étudiée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voir figure</t>
        </r>
      </text>
    </comment>
    <comment ref="D25" authorId="0">
      <text>
        <r>
          <rPr>
            <b/>
            <sz val="9"/>
            <rFont val="Tahoma"/>
            <family val="0"/>
          </rPr>
          <t>Si la travée est isostatique, taper 0, 
sinon taper  le moment ELS en combinaison caractéristique sous l'action des charges permanentes et variables, à l'exclusion de l'action de la précontrainte</t>
        </r>
        <r>
          <rPr>
            <sz val="9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0"/>
          </rPr>
          <t>Si la travée est isostatique, taper 0, 
sinon taper  le moment ELU en combinaison caractéristique sous l'action des charges permanentes et variables, à l'exclusion de l'action de la précontrainte</t>
        </r>
      </text>
    </comment>
    <comment ref="D27" authorId="0">
      <text>
        <r>
          <rPr>
            <b/>
            <sz val="9"/>
            <rFont val="Tahoma"/>
            <family val="0"/>
          </rPr>
          <t>de signe contraire, en général, des moments précédents</t>
        </r>
        <r>
          <rPr>
            <sz val="9"/>
            <rFont val="Tahoma"/>
            <family val="0"/>
          </rPr>
          <t xml:space="preserve">
</t>
        </r>
      </text>
    </comment>
    <comment ref="A32" authorId="0">
      <text>
        <r>
          <rPr>
            <b/>
            <sz val="9"/>
            <rFont val="Tahoma"/>
            <family val="0"/>
          </rPr>
          <t>Incluant le moment dû à l'action courbure de la précontrainte</t>
        </r>
        <r>
          <rPr>
            <sz val="9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9"/>
            <rFont val="Tahoma"/>
            <family val="0"/>
          </rPr>
          <t>Incluant le moment dû à l'action courbure de la précontrainte</t>
        </r>
        <r>
          <rPr>
            <sz val="9"/>
            <rFont val="Tahoma"/>
            <family val="0"/>
          </rPr>
          <t xml:space="preserve">
</t>
        </r>
      </text>
    </comment>
    <comment ref="B58" authorId="0">
      <text>
        <r>
          <rPr>
            <b/>
            <sz val="9"/>
            <rFont val="Tahoma"/>
            <family val="0"/>
          </rPr>
          <t>A</t>
        </r>
        <r>
          <rPr>
            <b/>
            <vertAlign val="subscript"/>
            <sz val="9"/>
            <rFont val="Tahoma"/>
            <family val="2"/>
          </rPr>
          <t xml:space="preserve">s,req </t>
        </r>
        <r>
          <rPr>
            <b/>
            <sz val="9"/>
            <rFont val="Tahoma"/>
            <family val="0"/>
          </rPr>
          <t>pour avoir M</t>
        </r>
        <r>
          <rPr>
            <b/>
            <vertAlign val="subscript"/>
            <sz val="9"/>
            <rFont val="Tahoma"/>
            <family val="2"/>
          </rPr>
          <t>Rd</t>
        </r>
        <r>
          <rPr>
            <b/>
            <sz val="9"/>
            <rFont val="Tahoma"/>
            <family val="0"/>
          </rPr>
          <t xml:space="preserve"> = 1,15M</t>
        </r>
        <r>
          <rPr>
            <b/>
            <vertAlign val="subscript"/>
            <sz val="9"/>
            <rFont val="Tahoma"/>
            <family val="2"/>
          </rPr>
          <t>cr</t>
        </r>
      </text>
    </comment>
    <comment ref="D18" authorId="0">
      <text>
        <r>
          <rPr>
            <b/>
            <sz val="9"/>
            <rFont val="Tahoma"/>
            <family val="0"/>
          </rPr>
          <t>pour le calcul du moment isostatique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0"/>
          </rPr>
          <t>pour le calcul du moment isostatique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<sst xmlns="http://schemas.openxmlformats.org/spreadsheetml/2006/main" count="207" uniqueCount="120">
  <si>
    <t>ELS</t>
  </si>
  <si>
    <t>b</t>
  </si>
  <si>
    <t>h</t>
  </si>
  <si>
    <t>d</t>
  </si>
  <si>
    <t>L</t>
  </si>
  <si>
    <t>q</t>
  </si>
  <si>
    <t>s</t>
  </si>
  <si>
    <t>P</t>
  </si>
  <si>
    <t>n</t>
  </si>
  <si>
    <t>z</t>
  </si>
  <si>
    <t>ELU</t>
  </si>
  <si>
    <t>P'</t>
  </si>
  <si>
    <t>,</t>
  </si>
  <si>
    <t>p</t>
  </si>
  <si>
    <t>-</t>
  </si>
  <si>
    <r>
      <t>D</t>
    </r>
    <r>
      <rPr>
        <sz val="9"/>
        <rFont val="Arial"/>
        <family val="0"/>
      </rPr>
      <t>P</t>
    </r>
  </si>
  <si>
    <t>Données</t>
  </si>
  <si>
    <t>Calculs</t>
  </si>
  <si>
    <t>m</t>
  </si>
  <si>
    <t>MPa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</si>
  <si>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</si>
  <si>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ctm</t>
    </r>
  </si>
  <si>
    <r>
      <t>E</t>
    </r>
    <r>
      <rPr>
        <vertAlign val="subscript"/>
        <sz val="9"/>
        <rFont val="Arial"/>
        <family val="2"/>
      </rPr>
      <t>cm</t>
    </r>
  </si>
  <si>
    <r>
      <t>e</t>
    </r>
    <r>
      <rPr>
        <vertAlign val="subscript"/>
        <sz val="9"/>
        <rFont val="Arial"/>
        <family val="2"/>
      </rPr>
      <t>cu1</t>
    </r>
  </si>
  <si>
    <r>
      <t>e</t>
    </r>
    <r>
      <rPr>
        <vertAlign val="subscript"/>
        <sz val="9"/>
        <rFont val="Arial"/>
        <family val="2"/>
      </rPr>
      <t>c1</t>
    </r>
  </si>
  <si>
    <r>
      <t>e</t>
    </r>
    <r>
      <rPr>
        <vertAlign val="subscript"/>
        <sz val="9"/>
        <rFont val="Arial"/>
        <family val="2"/>
      </rPr>
      <t>cu2</t>
    </r>
  </si>
  <si>
    <r>
      <t>e</t>
    </r>
    <r>
      <rPr>
        <vertAlign val="subscript"/>
        <sz val="9"/>
        <rFont val="Arial"/>
        <family val="2"/>
      </rPr>
      <t>c2</t>
    </r>
  </si>
  <si>
    <r>
      <t>kN/m</t>
    </r>
    <r>
      <rPr>
        <vertAlign val="superscript"/>
        <sz val="9"/>
        <rFont val="Arial"/>
        <family val="2"/>
      </rPr>
      <t>2</t>
    </r>
  </si>
  <si>
    <t>g</t>
  </si>
  <si>
    <r>
      <t>e</t>
    </r>
    <r>
      <rPr>
        <vertAlign val="subscript"/>
        <sz val="9"/>
        <rFont val="Arial"/>
        <family val="2"/>
      </rPr>
      <t>0</t>
    </r>
  </si>
  <si>
    <r>
      <t>f</t>
    </r>
    <r>
      <rPr>
        <vertAlign val="subscript"/>
        <sz val="9"/>
        <rFont val="Arial"/>
        <family val="2"/>
      </rPr>
      <t>p0,1k</t>
    </r>
  </si>
  <si>
    <r>
      <t>s</t>
    </r>
    <r>
      <rPr>
        <vertAlign val="subscript"/>
        <sz val="9"/>
        <rFont val="Arial"/>
        <family val="2"/>
      </rPr>
      <t>p</t>
    </r>
  </si>
  <si>
    <r>
      <t>n</t>
    </r>
    <r>
      <rPr>
        <vertAlign val="subscript"/>
        <sz val="9"/>
        <rFont val="Arial"/>
        <family val="2"/>
      </rPr>
      <t>p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</si>
  <si>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</si>
  <si>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yd</t>
    </r>
  </si>
  <si>
    <r>
      <t>A</t>
    </r>
    <r>
      <rPr>
        <vertAlign val="subscript"/>
        <sz val="9"/>
        <rFont val="Arial"/>
        <family val="2"/>
      </rPr>
      <t>p</t>
    </r>
  </si>
  <si>
    <t>MN</t>
  </si>
  <si>
    <r>
      <t>s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</si>
  <si>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g</t>
    </r>
  </si>
  <si>
    <r>
      <t>M</t>
    </r>
    <r>
      <rPr>
        <vertAlign val="subscript"/>
        <sz val="9"/>
        <rFont val="Arial"/>
        <family val="2"/>
      </rPr>
      <t>q</t>
    </r>
  </si>
  <si>
    <r>
      <t>M</t>
    </r>
    <r>
      <rPr>
        <vertAlign val="subscript"/>
        <sz val="9"/>
        <rFont val="Arial"/>
        <family val="2"/>
      </rPr>
      <t>p</t>
    </r>
  </si>
  <si>
    <r>
      <t>M</t>
    </r>
    <r>
      <rPr>
        <vertAlign val="subscript"/>
        <sz val="9"/>
        <rFont val="Arial"/>
        <family val="2"/>
      </rPr>
      <t>cr</t>
    </r>
  </si>
  <si>
    <r>
      <t>e</t>
    </r>
    <r>
      <rPr>
        <vertAlign val="subscript"/>
        <sz val="9"/>
        <rFont val="Arial"/>
        <family val="2"/>
      </rPr>
      <t>s0</t>
    </r>
  </si>
  <si>
    <r>
      <t>M</t>
    </r>
    <r>
      <rPr>
        <vertAlign val="subscript"/>
        <sz val="9"/>
        <rFont val="Arial"/>
        <family val="2"/>
      </rPr>
      <t>ELS</t>
    </r>
  </si>
  <si>
    <r>
      <t>&lt; M</t>
    </r>
    <r>
      <rPr>
        <vertAlign val="subscript"/>
        <sz val="9"/>
        <rFont val="Arial"/>
        <family val="2"/>
      </rPr>
      <t>cr</t>
    </r>
    <r>
      <rPr>
        <sz val="9"/>
        <rFont val="Arial"/>
        <family val="0"/>
      </rPr>
      <t xml:space="preserve"> ?</t>
    </r>
  </si>
  <si>
    <r>
      <t>M</t>
    </r>
    <r>
      <rPr>
        <vertAlign val="subscript"/>
        <sz val="9"/>
        <rFont val="Arial"/>
        <family val="2"/>
      </rPr>
      <t>1</t>
    </r>
  </si>
  <si>
    <t>a</t>
  </si>
  <si>
    <r>
      <t>A</t>
    </r>
    <r>
      <rPr>
        <vertAlign val="subscript"/>
        <sz val="9"/>
        <rFont val="Arial"/>
        <family val="2"/>
      </rPr>
      <t>s1</t>
    </r>
  </si>
  <si>
    <r>
      <t>M</t>
    </r>
    <r>
      <rPr>
        <vertAlign val="subscript"/>
        <sz val="9"/>
        <rFont val="Arial"/>
        <family val="2"/>
      </rPr>
      <t>ELU</t>
    </r>
  </si>
  <si>
    <r>
      <t>M</t>
    </r>
    <r>
      <rPr>
        <vertAlign val="subscript"/>
        <sz val="9"/>
        <rFont val="Arial"/>
        <family val="2"/>
      </rPr>
      <t>2</t>
    </r>
  </si>
  <si>
    <t>x</t>
  </si>
  <si>
    <r>
      <t>e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</si>
  <si>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s</t>
    </r>
  </si>
  <si>
    <r>
      <t>A</t>
    </r>
    <r>
      <rPr>
        <vertAlign val="subscript"/>
        <sz val="9"/>
        <rFont val="Arial"/>
        <family val="2"/>
      </rPr>
      <t>s2</t>
    </r>
  </si>
  <si>
    <r>
      <t>M</t>
    </r>
    <r>
      <rPr>
        <vertAlign val="subscript"/>
        <sz val="9"/>
        <rFont val="Arial"/>
        <family val="2"/>
      </rPr>
      <t>Rd</t>
    </r>
  </si>
  <si>
    <r>
      <t>M</t>
    </r>
    <r>
      <rPr>
        <vertAlign val="subscript"/>
        <sz val="9"/>
        <rFont val="Arial"/>
        <family val="2"/>
      </rPr>
      <t>Rd</t>
    </r>
    <r>
      <rPr>
        <sz val="9"/>
        <rFont val="Arial"/>
        <family val="0"/>
      </rPr>
      <t>/M</t>
    </r>
    <r>
      <rPr>
        <vertAlign val="subscript"/>
        <sz val="9"/>
        <rFont val="Arial"/>
        <family val="2"/>
      </rPr>
      <t>cr</t>
    </r>
  </si>
  <si>
    <r>
      <t>A</t>
    </r>
    <r>
      <rPr>
        <vertAlign val="subscript"/>
        <sz val="9"/>
        <rFont val="Arial"/>
        <family val="2"/>
      </rPr>
      <t>s,min</t>
    </r>
  </si>
  <si>
    <r>
      <t>A</t>
    </r>
    <r>
      <rPr>
        <vertAlign val="subscript"/>
        <sz val="9"/>
        <rFont val="Arial"/>
        <family val="2"/>
      </rPr>
      <t>s,req</t>
    </r>
  </si>
  <si>
    <t>non</t>
  </si>
  <si>
    <t>oui</t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</si>
  <si>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</si>
  <si>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</si>
  <si>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yk</t>
    </r>
  </si>
  <si>
    <r>
      <t>s</t>
    </r>
    <r>
      <rPr>
        <vertAlign val="subscript"/>
        <sz val="9"/>
        <rFont val="Arial"/>
        <family val="2"/>
      </rPr>
      <t>sd</t>
    </r>
  </si>
  <si>
    <t>portée</t>
  </si>
  <si>
    <t>largeur</t>
  </si>
  <si>
    <t>hauteur totale</t>
  </si>
  <si>
    <t>hauteur utile</t>
  </si>
  <si>
    <t>résistance béton</t>
  </si>
  <si>
    <t>limite élastique acier passif</t>
  </si>
  <si>
    <t>contrainte de calcul acier ELS</t>
  </si>
  <si>
    <t>charges permanentes</t>
  </si>
  <si>
    <t>charges variables</t>
  </si>
  <si>
    <t>espacement des torons T15S</t>
  </si>
  <si>
    <t>limite élastique acier précontrainte</t>
  </si>
  <si>
    <t>contrainte finale après pertes</t>
  </si>
  <si>
    <r>
      <t>mm</t>
    </r>
    <r>
      <rPr>
        <vertAlign val="superscript"/>
        <sz val="9"/>
        <rFont val="Arial"/>
        <family val="2"/>
      </rPr>
      <t>2</t>
    </r>
  </si>
  <si>
    <t>kNm</t>
  </si>
  <si>
    <t>‰</t>
  </si>
  <si>
    <r>
      <t>e</t>
    </r>
    <r>
      <rPr>
        <vertAlign val="subscript"/>
        <sz val="9"/>
        <rFont val="Arial"/>
        <family val="2"/>
      </rPr>
      <t>p1</t>
    </r>
  </si>
  <si>
    <r>
      <t>De</t>
    </r>
    <r>
      <rPr>
        <vertAlign val="subscript"/>
        <sz val="9"/>
        <rFont val="Arial"/>
        <family val="2"/>
      </rPr>
      <t>p2</t>
    </r>
  </si>
  <si>
    <r>
      <t>s</t>
    </r>
    <r>
      <rPr>
        <vertAlign val="subscript"/>
        <sz val="9"/>
        <rFont val="Arial"/>
        <family val="2"/>
      </rPr>
      <t>s2</t>
    </r>
  </si>
  <si>
    <r>
      <t>f</t>
    </r>
    <r>
      <rPr>
        <vertAlign val="subscript"/>
        <sz val="9"/>
        <rFont val="Arial"/>
        <family val="2"/>
      </rPr>
      <t>pd</t>
    </r>
  </si>
  <si>
    <r>
      <t>e</t>
    </r>
    <r>
      <rPr>
        <vertAlign val="subscript"/>
        <sz val="9"/>
        <rFont val="Arial"/>
        <family val="2"/>
      </rPr>
      <t>p0</t>
    </r>
  </si>
  <si>
    <r>
      <t>e</t>
    </r>
    <r>
      <rPr>
        <vertAlign val="subscript"/>
        <sz val="9"/>
        <rFont val="Arial"/>
        <family val="2"/>
      </rPr>
      <t>p3</t>
    </r>
  </si>
  <si>
    <r>
      <t>s</t>
    </r>
    <r>
      <rPr>
        <vertAlign val="subscript"/>
        <sz val="9"/>
        <rFont val="Arial"/>
        <family val="2"/>
      </rPr>
      <t>3</t>
    </r>
  </si>
  <si>
    <r>
      <t>De</t>
    </r>
    <r>
      <rPr>
        <vertAlign val="subscript"/>
        <sz val="9"/>
        <rFont val="Arial"/>
        <family val="2"/>
      </rPr>
      <t>p1</t>
    </r>
  </si>
  <si>
    <t xml:space="preserve">L'auteur n'est pas </t>
  </si>
  <si>
    <t>responsable de</t>
  </si>
  <si>
    <t>l'utilisation faite</t>
  </si>
  <si>
    <t>de ce programme</t>
  </si>
  <si>
    <t>166 - Dalles BP - Armatures passives éventuelles</t>
  </si>
  <si>
    <t>Torons T15S adhérents ou non-adhérents</t>
  </si>
  <si>
    <r>
      <t>cm</t>
    </r>
    <r>
      <rPr>
        <vertAlign val="superscript"/>
        <sz val="9"/>
        <rFont val="Arial"/>
        <family val="2"/>
      </rPr>
      <t>2</t>
    </r>
  </si>
  <si>
    <t>Classe d'exposition XC1</t>
  </si>
  <si>
    <r>
      <t>A</t>
    </r>
    <r>
      <rPr>
        <vertAlign val="subscript"/>
        <sz val="9"/>
        <rFont val="Arial"/>
        <family val="2"/>
      </rPr>
      <t>p</t>
    </r>
    <r>
      <rPr>
        <sz val="9"/>
        <rFont val="Arial"/>
        <family val="0"/>
      </rPr>
      <t>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p</t>
    </r>
  </si>
  <si>
    <t>câble adhérent ?</t>
  </si>
  <si>
    <t>moment ELS caractéristique hors action de la précontrainte</t>
  </si>
  <si>
    <t>moment ELU caractéristique hors action de la précontrainte</t>
  </si>
  <si>
    <t>isostatique</t>
  </si>
  <si>
    <t>précontrainte</t>
  </si>
  <si>
    <t>moment dû à l'action courbure de la précontrainte</t>
  </si>
  <si>
    <t>% minimal</t>
  </si>
  <si>
    <r>
      <t>A</t>
    </r>
    <r>
      <rPr>
        <vertAlign val="subscript"/>
        <sz val="9"/>
        <rFont val="Arial"/>
        <family val="2"/>
      </rPr>
      <t>s,req</t>
    </r>
    <r>
      <rPr>
        <sz val="9"/>
        <rFont val="Arial"/>
        <family val="0"/>
      </rPr>
      <t xml:space="preserve"> (M</t>
    </r>
    <r>
      <rPr>
        <vertAlign val="subscript"/>
        <sz val="9"/>
        <rFont val="Arial"/>
        <family val="2"/>
      </rPr>
      <t>cr</t>
    </r>
    <r>
      <rPr>
        <sz val="9"/>
        <rFont val="Arial"/>
        <family val="2"/>
      </rPr>
      <t>)</t>
    </r>
  </si>
  <si>
    <t>c</t>
  </si>
  <si>
    <t>D</t>
  </si>
  <si>
    <r>
      <t>Calcul de A</t>
    </r>
    <r>
      <rPr>
        <vertAlign val="subscript"/>
        <sz val="9"/>
        <rFont val="Arial"/>
        <family val="2"/>
      </rPr>
      <t>s,cr</t>
    </r>
  </si>
  <si>
    <r>
      <t>A</t>
    </r>
    <r>
      <rPr>
        <vertAlign val="subscript"/>
        <sz val="9"/>
        <rFont val="Arial"/>
        <family val="2"/>
      </rPr>
      <t>s,cr</t>
    </r>
  </si>
  <si>
    <t>Equation 2e degré</t>
  </si>
  <si>
    <t>excentricité du câble (algébrique)</t>
  </si>
  <si>
    <t>amplitude de variation du tracé du câble</t>
  </si>
  <si>
    <t>NON ADHERENT</t>
  </si>
  <si>
    <r>
      <t>F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</si>
  <si>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</t>
    </r>
  </si>
  <si>
    <r>
      <t>Calcul de M</t>
    </r>
    <r>
      <rPr>
        <vertAlign val="subscript"/>
        <sz val="9"/>
        <rFont val="Arial"/>
        <family val="2"/>
      </rPr>
      <t>Rd</t>
    </r>
  </si>
  <si>
    <r>
      <t xml:space="preserve">MN   </t>
    </r>
    <r>
      <rPr>
        <sz val="9"/>
        <color indexed="12"/>
        <rFont val="Arial"/>
        <family val="2"/>
      </rPr>
      <t>3</t>
    </r>
    <r>
      <rPr>
        <vertAlign val="superscript"/>
        <sz val="9"/>
        <color indexed="12"/>
        <rFont val="Arial"/>
        <family val="2"/>
      </rPr>
      <t>e</t>
    </r>
    <r>
      <rPr>
        <sz val="9"/>
        <color indexed="12"/>
        <rFont val="Arial"/>
        <family val="2"/>
      </rPr>
      <t xml:space="preserve"> itération</t>
    </r>
  </si>
  <si>
    <r>
      <t>charge due à la précontrainte = 8P.</t>
    </r>
    <r>
      <rPr>
        <sz val="9"/>
        <rFont val="Symbol"/>
        <family val="1"/>
      </rPr>
      <t>d</t>
    </r>
    <r>
      <rPr>
        <sz val="9"/>
        <rFont val="Arial"/>
        <family val="0"/>
      </rPr>
      <t>/L</t>
    </r>
    <r>
      <rPr>
        <vertAlign val="superscript"/>
        <sz val="9"/>
        <rFont val="Arial"/>
        <family val="2"/>
      </rPr>
      <t>2</t>
    </r>
  </si>
  <si>
    <t>contrainte moyenne de compression</t>
  </si>
  <si>
    <r>
      <t>coeff. équivalence béton armé (</t>
    </r>
    <r>
      <rPr>
        <sz val="9"/>
        <rFont val="Symbol"/>
        <family val="1"/>
      </rPr>
      <t>a</t>
    </r>
    <r>
      <rPr>
        <sz val="9"/>
        <rFont val="Arial"/>
        <family val="0"/>
      </rPr>
      <t>)</t>
    </r>
  </si>
  <si>
    <r>
      <t>coeff. équiv. arm. de précontrainte (</t>
    </r>
    <r>
      <rPr>
        <sz val="9"/>
        <rFont val="Symbol"/>
        <family val="1"/>
      </rPr>
      <t>a</t>
    </r>
    <r>
      <rPr>
        <vertAlign val="subscript"/>
        <sz val="9"/>
        <rFont val="Arial"/>
        <family val="2"/>
      </rPr>
      <t>p</t>
    </r>
    <r>
      <rPr>
        <sz val="9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</si>
</sst>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</numFmts>
  <fonts count="47">
    <font>
      <sz val="9"/>
      <name val="Arial"/>
      <family val="0"/>
    </font>
    <font>
      <b/>
      <sz val="9"/>
      <name val="Arial"/>
      <family val="2"/>
    </font>
    <font>
      <sz val="9"/>
      <name val="Symbol"/>
      <family val="1"/>
    </font>
    <font>
      <vertAlign val="subscript"/>
      <sz val="9"/>
      <name val="Arial"/>
      <family val="2"/>
    </font>
    <font>
      <b/>
      <sz val="9"/>
      <name val="Helv"/>
      <family val="0"/>
    </font>
    <font>
      <vertAlign val="superscript"/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0"/>
    </font>
    <font>
      <b/>
      <vertAlign val="subscript"/>
      <sz val="9"/>
      <name val="Tahoma"/>
      <family val="2"/>
    </font>
    <font>
      <sz val="9"/>
      <color indexed="12"/>
      <name val="Arial"/>
      <family val="2"/>
    </font>
    <font>
      <vertAlign val="superscript"/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 quotePrefix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168" fontId="0" fillId="0" borderId="19" xfId="0" applyNumberFormat="1" applyBorder="1" applyAlignment="1">
      <alignment horizontal="center"/>
    </xf>
    <xf numFmtId="167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1" fillId="34" borderId="25" xfId="0" applyNumberFormat="1" applyFont="1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0" borderId="0" xfId="0" applyFill="1" applyAlignment="1">
      <alignment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34</xdr:row>
      <xdr:rowOff>76200</xdr:rowOff>
    </xdr:from>
    <xdr:to>
      <xdr:col>4</xdr:col>
      <xdr:colOff>1114425</xdr:colOff>
      <xdr:row>34</xdr:row>
      <xdr:rowOff>76200</xdr:rowOff>
    </xdr:to>
    <xdr:sp>
      <xdr:nvSpPr>
        <xdr:cNvPr id="1" name="Line 27"/>
        <xdr:cNvSpPr>
          <a:spLocks/>
        </xdr:cNvSpPr>
      </xdr:nvSpPr>
      <xdr:spPr>
        <a:xfrm flipH="1">
          <a:off x="3838575" y="5715000"/>
          <a:ext cx="238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34</xdr:row>
      <xdr:rowOff>76200</xdr:rowOff>
    </xdr:from>
    <xdr:to>
      <xdr:col>4</xdr:col>
      <xdr:colOff>876300</xdr:colOff>
      <xdr:row>52</xdr:row>
      <xdr:rowOff>28575</xdr:rowOff>
    </xdr:to>
    <xdr:sp>
      <xdr:nvSpPr>
        <xdr:cNvPr id="2" name="Line 28"/>
        <xdr:cNvSpPr>
          <a:spLocks/>
        </xdr:cNvSpPr>
      </xdr:nvSpPr>
      <xdr:spPr>
        <a:xfrm>
          <a:off x="3838575" y="5715000"/>
          <a:ext cx="0" cy="2962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52</xdr:row>
      <xdr:rowOff>28575</xdr:rowOff>
    </xdr:from>
    <xdr:to>
      <xdr:col>4</xdr:col>
      <xdr:colOff>1066800</xdr:colOff>
      <xdr:row>52</xdr:row>
      <xdr:rowOff>28575</xdr:rowOff>
    </xdr:to>
    <xdr:sp>
      <xdr:nvSpPr>
        <xdr:cNvPr id="3" name="Line 29"/>
        <xdr:cNvSpPr>
          <a:spLocks/>
        </xdr:cNvSpPr>
      </xdr:nvSpPr>
      <xdr:spPr>
        <a:xfrm>
          <a:off x="3838575" y="8677275"/>
          <a:ext cx="190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42</xdr:row>
      <xdr:rowOff>95250</xdr:rowOff>
    </xdr:from>
    <xdr:to>
      <xdr:col>4</xdr:col>
      <xdr:colOff>866775</xdr:colOff>
      <xdr:row>42</xdr:row>
      <xdr:rowOff>95250</xdr:rowOff>
    </xdr:to>
    <xdr:sp>
      <xdr:nvSpPr>
        <xdr:cNvPr id="4" name="Line 38"/>
        <xdr:cNvSpPr>
          <a:spLocks/>
        </xdr:cNvSpPr>
      </xdr:nvSpPr>
      <xdr:spPr>
        <a:xfrm>
          <a:off x="2886075" y="7048500"/>
          <a:ext cx="942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57</xdr:row>
      <xdr:rowOff>95250</xdr:rowOff>
    </xdr:from>
    <xdr:to>
      <xdr:col>4</xdr:col>
      <xdr:colOff>0</xdr:colOff>
      <xdr:row>59</xdr:row>
      <xdr:rowOff>57150</xdr:rowOff>
    </xdr:to>
    <xdr:sp>
      <xdr:nvSpPr>
        <xdr:cNvPr id="5" name="Line 39"/>
        <xdr:cNvSpPr>
          <a:spLocks/>
        </xdr:cNvSpPr>
      </xdr:nvSpPr>
      <xdr:spPr>
        <a:xfrm>
          <a:off x="1419225" y="9563100"/>
          <a:ext cx="1543050" cy="304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60"/>
  <sheetViews>
    <sheetView showGridLines="0" tabSelected="1" view="pageBreakPreview" zoomScaleSheetLayoutView="100" zoomScalePageLayoutView="0" workbookViewId="0" topLeftCell="A1">
      <selection activeCell="V30" sqref="V30"/>
    </sheetView>
  </sheetViews>
  <sheetFormatPr defaultColWidth="11.421875" defaultRowHeight="12"/>
  <cols>
    <col min="1" max="1" width="14.421875" style="1" customWidth="1"/>
    <col min="2" max="2" width="7.8515625" style="2" customWidth="1"/>
    <col min="3" max="3" width="7.7109375" style="2" customWidth="1"/>
    <col min="4" max="4" width="14.421875" style="3" customWidth="1"/>
    <col min="5" max="5" width="16.7109375" style="0" customWidth="1"/>
    <col min="6" max="6" width="10.140625" style="0" customWidth="1"/>
    <col min="7" max="7" width="7.421875" style="0" customWidth="1"/>
    <col min="8" max="8" width="7.57421875" style="0" customWidth="1"/>
    <col min="10" max="10" width="6.00390625" style="0" customWidth="1"/>
    <col min="11" max="12" width="14.00390625" style="0" customWidth="1"/>
    <col min="14" max="15" width="8.00390625" style="0" customWidth="1"/>
  </cols>
  <sheetData>
    <row r="1" spans="1:9" ht="12">
      <c r="A1" s="6" t="s">
        <v>91</v>
      </c>
      <c r="I1" s="21"/>
    </row>
    <row r="2" spans="1:9" ht="12">
      <c r="A2" s="6" t="s">
        <v>92</v>
      </c>
      <c r="I2" s="22"/>
    </row>
    <row r="3" spans="1:9" ht="12">
      <c r="A3" s="6" t="s">
        <v>94</v>
      </c>
      <c r="I3" s="21" t="s">
        <v>87</v>
      </c>
    </row>
    <row r="4" spans="1:9" ht="12">
      <c r="A4" s="6"/>
      <c r="I4" s="21" t="s">
        <v>88</v>
      </c>
    </row>
    <row r="5" ht="12">
      <c r="I5" s="21" t="s">
        <v>89</v>
      </c>
    </row>
    <row r="6" spans="2:20" ht="12.75" thickBot="1">
      <c r="B6" s="6" t="s">
        <v>16</v>
      </c>
      <c r="I6" s="21" t="s">
        <v>90</v>
      </c>
      <c r="M6" s="7">
        <v>1</v>
      </c>
      <c r="N6" s="8">
        <v>2</v>
      </c>
      <c r="O6" s="8">
        <v>3</v>
      </c>
      <c r="P6" s="8">
        <v>4</v>
      </c>
      <c r="Q6" s="8">
        <v>5</v>
      </c>
      <c r="R6" s="8">
        <v>6</v>
      </c>
      <c r="S6" s="8">
        <v>7</v>
      </c>
      <c r="T6" s="8">
        <v>8</v>
      </c>
    </row>
    <row r="7" spans="1:20" ht="14.25" thickTop="1">
      <c r="A7" s="1" t="s">
        <v>4</v>
      </c>
      <c r="B7" s="29">
        <v>10.9</v>
      </c>
      <c r="C7" s="3" t="s">
        <v>18</v>
      </c>
      <c r="D7" s="3" t="s">
        <v>64</v>
      </c>
      <c r="G7" s="6" t="s">
        <v>17</v>
      </c>
      <c r="H7" s="3"/>
      <c r="M7" s="9" t="s">
        <v>20</v>
      </c>
      <c r="N7" s="10" t="s">
        <v>21</v>
      </c>
      <c r="O7" s="10" t="s">
        <v>22</v>
      </c>
      <c r="P7" s="11" t="s">
        <v>23</v>
      </c>
      <c r="Q7" s="11" t="s">
        <v>24</v>
      </c>
      <c r="R7" s="11" t="s">
        <v>25</v>
      </c>
      <c r="S7" s="11" t="s">
        <v>26</v>
      </c>
      <c r="T7" s="10" t="s">
        <v>8</v>
      </c>
    </row>
    <row r="8" spans="1:20" ht="13.5">
      <c r="A8" s="1" t="s">
        <v>1</v>
      </c>
      <c r="B8" s="30">
        <v>1</v>
      </c>
      <c r="C8" s="3" t="s">
        <v>18</v>
      </c>
      <c r="D8" s="3" t="s">
        <v>65</v>
      </c>
      <c r="F8" s="1" t="s">
        <v>33</v>
      </c>
      <c r="G8" s="23">
        <f>B11/B12</f>
        <v>20</v>
      </c>
      <c r="H8" s="3" t="s">
        <v>19</v>
      </c>
      <c r="I8" s="3"/>
      <c r="M8" s="15">
        <v>12</v>
      </c>
      <c r="N8" s="16">
        <v>1.6</v>
      </c>
      <c r="O8" s="16">
        <v>27</v>
      </c>
      <c r="P8" s="16">
        <v>3.5</v>
      </c>
      <c r="Q8" s="16">
        <v>1.8</v>
      </c>
      <c r="R8" s="16">
        <v>3.5</v>
      </c>
      <c r="S8" s="16">
        <v>2</v>
      </c>
      <c r="T8" s="17">
        <v>2</v>
      </c>
    </row>
    <row r="9" spans="1:20" ht="13.5">
      <c r="A9" s="1" t="s">
        <v>2</v>
      </c>
      <c r="B9" s="30">
        <v>0.3</v>
      </c>
      <c r="C9" s="3" t="s">
        <v>18</v>
      </c>
      <c r="D9" s="3" t="s">
        <v>66</v>
      </c>
      <c r="F9" s="1" t="s">
        <v>34</v>
      </c>
      <c r="G9" s="24">
        <f>B13/B14</f>
        <v>434.7826086956522</v>
      </c>
      <c r="H9" s="3" t="s">
        <v>19</v>
      </c>
      <c r="I9" s="3"/>
      <c r="M9" s="9">
        <v>16</v>
      </c>
      <c r="N9" s="10">
        <v>1.9</v>
      </c>
      <c r="O9" s="10">
        <v>29</v>
      </c>
      <c r="P9" s="10">
        <v>3.5</v>
      </c>
      <c r="Q9" s="10">
        <v>1.9</v>
      </c>
      <c r="R9" s="10">
        <v>3.5</v>
      </c>
      <c r="S9" s="10">
        <v>2</v>
      </c>
      <c r="T9" s="18">
        <v>2</v>
      </c>
    </row>
    <row r="10" spans="1:20" ht="13.5">
      <c r="A10" s="1" t="s">
        <v>3</v>
      </c>
      <c r="B10" s="30">
        <v>0.27</v>
      </c>
      <c r="C10" s="3" t="s">
        <v>18</v>
      </c>
      <c r="D10" s="3" t="s">
        <v>67</v>
      </c>
      <c r="F10" s="1" t="s">
        <v>21</v>
      </c>
      <c r="G10" s="25">
        <f>VLOOKUP(B11,tabfck,2)</f>
        <v>2.9</v>
      </c>
      <c r="H10" s="3" t="s">
        <v>19</v>
      </c>
      <c r="I10" s="3"/>
      <c r="M10" s="9">
        <v>20</v>
      </c>
      <c r="N10" s="10">
        <v>2.2</v>
      </c>
      <c r="O10" s="10">
        <v>30</v>
      </c>
      <c r="P10" s="10">
        <v>3.5</v>
      </c>
      <c r="Q10" s="10">
        <v>2</v>
      </c>
      <c r="R10" s="10">
        <v>3.5</v>
      </c>
      <c r="S10" s="10">
        <v>2</v>
      </c>
      <c r="T10" s="18">
        <v>2</v>
      </c>
    </row>
    <row r="11" spans="1:20" ht="13.5">
      <c r="A11" s="1" t="s">
        <v>20</v>
      </c>
      <c r="B11" s="30">
        <v>30</v>
      </c>
      <c r="C11" s="3" t="s">
        <v>19</v>
      </c>
      <c r="D11" s="3" t="s">
        <v>68</v>
      </c>
      <c r="F11" s="5" t="s">
        <v>25</v>
      </c>
      <c r="G11" s="25">
        <f>VLOOKUP(B11,tabfck,6)</f>
        <v>3.5</v>
      </c>
      <c r="H11" s="3" t="s">
        <v>78</v>
      </c>
      <c r="M11" s="9">
        <v>25</v>
      </c>
      <c r="N11" s="10">
        <v>2.6</v>
      </c>
      <c r="O11" s="10">
        <v>31</v>
      </c>
      <c r="P11" s="10">
        <v>3.5</v>
      </c>
      <c r="Q11" s="10">
        <v>2.1</v>
      </c>
      <c r="R11" s="10">
        <v>3.5</v>
      </c>
      <c r="S11" s="10">
        <v>2</v>
      </c>
      <c r="T11" s="18">
        <v>2</v>
      </c>
    </row>
    <row r="12" spans="1:20" ht="13.5">
      <c r="A12" s="5" t="s">
        <v>60</v>
      </c>
      <c r="B12" s="30">
        <v>1.5</v>
      </c>
      <c r="C12" s="3"/>
      <c r="F12" s="1" t="s">
        <v>35</v>
      </c>
      <c r="G12" s="26">
        <f>150/B20</f>
        <v>454.5454545454545</v>
      </c>
      <c r="H12" s="3" t="s">
        <v>76</v>
      </c>
      <c r="I12" s="3"/>
      <c r="M12" s="9">
        <v>30</v>
      </c>
      <c r="N12" s="10">
        <v>2.9</v>
      </c>
      <c r="O12" s="10">
        <v>33</v>
      </c>
      <c r="P12" s="10">
        <v>3.5</v>
      </c>
      <c r="Q12" s="10">
        <v>2.2</v>
      </c>
      <c r="R12" s="10">
        <v>3.5</v>
      </c>
      <c r="S12" s="10">
        <v>2</v>
      </c>
      <c r="T12" s="18">
        <v>2</v>
      </c>
    </row>
    <row r="13" spans="1:20" ht="13.5">
      <c r="A13" s="1" t="s">
        <v>62</v>
      </c>
      <c r="B13" s="30">
        <v>500</v>
      </c>
      <c r="C13" s="3" t="s">
        <v>19</v>
      </c>
      <c r="D13" s="3" t="s">
        <v>69</v>
      </c>
      <c r="F13" s="1" t="s">
        <v>7</v>
      </c>
      <c r="G13" s="25">
        <f>B24*G12/1000000</f>
        <v>0.5681818181818181</v>
      </c>
      <c r="H13" s="3" t="s">
        <v>36</v>
      </c>
      <c r="I13" s="3" t="s">
        <v>95</v>
      </c>
      <c r="M13" s="12">
        <v>35</v>
      </c>
      <c r="N13" s="10">
        <v>3.2</v>
      </c>
      <c r="O13" s="10">
        <v>34</v>
      </c>
      <c r="P13" s="10">
        <v>3.5</v>
      </c>
      <c r="Q13" s="10">
        <v>2.25</v>
      </c>
      <c r="R13" s="10">
        <v>3.5</v>
      </c>
      <c r="S13" s="10">
        <v>2</v>
      </c>
      <c r="T13" s="18">
        <v>2</v>
      </c>
    </row>
    <row r="14" spans="1:20" ht="13.5">
      <c r="A14" s="5" t="s">
        <v>61</v>
      </c>
      <c r="B14" s="30">
        <v>1.15</v>
      </c>
      <c r="C14" s="3"/>
      <c r="F14" s="1" t="s">
        <v>13</v>
      </c>
      <c r="G14" s="25">
        <f>-8*G13*B22/B7^2*1000</f>
        <v>-6.886472672180944</v>
      </c>
      <c r="H14" s="3" t="s">
        <v>27</v>
      </c>
      <c r="I14" s="3" t="s">
        <v>116</v>
      </c>
      <c r="M14" s="12">
        <v>40</v>
      </c>
      <c r="N14" s="10">
        <v>3.5</v>
      </c>
      <c r="O14" s="10">
        <v>35</v>
      </c>
      <c r="P14" s="10">
        <v>3.5</v>
      </c>
      <c r="Q14" s="10">
        <v>2.3</v>
      </c>
      <c r="R14" s="10">
        <v>3.5</v>
      </c>
      <c r="S14" s="10">
        <v>2</v>
      </c>
      <c r="T14" s="18">
        <v>2</v>
      </c>
    </row>
    <row r="15" spans="1:20" ht="13.5">
      <c r="A15" s="5" t="s">
        <v>63</v>
      </c>
      <c r="B15" s="30">
        <v>400</v>
      </c>
      <c r="C15" s="3" t="s">
        <v>19</v>
      </c>
      <c r="D15" s="3" t="s">
        <v>70</v>
      </c>
      <c r="F15" s="5" t="s">
        <v>37</v>
      </c>
      <c r="G15" s="25">
        <f>G13/B8/B9</f>
        <v>1.8939393939393938</v>
      </c>
      <c r="H15" s="3" t="s">
        <v>19</v>
      </c>
      <c r="I15" t="s">
        <v>117</v>
      </c>
      <c r="M15" s="9">
        <v>45</v>
      </c>
      <c r="N15" s="10">
        <v>3.8</v>
      </c>
      <c r="O15" s="10">
        <v>36</v>
      </c>
      <c r="P15" s="10">
        <v>3.5</v>
      </c>
      <c r="Q15" s="10">
        <v>2.4</v>
      </c>
      <c r="R15" s="10">
        <v>3.5</v>
      </c>
      <c r="S15" s="10">
        <v>2</v>
      </c>
      <c r="T15" s="18">
        <v>2</v>
      </c>
    </row>
    <row r="16" spans="1:20" ht="13.5">
      <c r="A16" s="1" t="s">
        <v>8</v>
      </c>
      <c r="B16" s="30">
        <v>15</v>
      </c>
      <c r="D16" s="3" t="s">
        <v>118</v>
      </c>
      <c r="F16" s="1" t="s">
        <v>38</v>
      </c>
      <c r="G16" s="25">
        <f>B18*B7^2/8</f>
        <v>111.384375</v>
      </c>
      <c r="H16" s="3" t="s">
        <v>77</v>
      </c>
      <c r="I16" s="3" t="s">
        <v>99</v>
      </c>
      <c r="M16" s="9">
        <v>50</v>
      </c>
      <c r="N16" s="10">
        <v>4.1</v>
      </c>
      <c r="O16" s="10">
        <v>37</v>
      </c>
      <c r="P16" s="10">
        <v>3.5</v>
      </c>
      <c r="Q16" s="10">
        <v>2.45</v>
      </c>
      <c r="R16" s="10">
        <v>3.5</v>
      </c>
      <c r="S16" s="10">
        <v>2</v>
      </c>
      <c r="T16" s="18">
        <v>2</v>
      </c>
    </row>
    <row r="17" spans="1:20" ht="13.5">
      <c r="A17" s="1" t="s">
        <v>32</v>
      </c>
      <c r="B17" s="30">
        <v>9</v>
      </c>
      <c r="D17" s="3" t="s">
        <v>119</v>
      </c>
      <c r="F17" s="1" t="s">
        <v>39</v>
      </c>
      <c r="G17" s="25">
        <f>B19*B7^2/8</f>
        <v>37.128125</v>
      </c>
      <c r="H17" s="3" t="s">
        <v>77</v>
      </c>
      <c r="I17" s="3" t="s">
        <v>99</v>
      </c>
      <c r="M17" s="9">
        <v>55</v>
      </c>
      <c r="N17" s="10">
        <v>4.2</v>
      </c>
      <c r="O17" s="10">
        <v>38</v>
      </c>
      <c r="P17" s="10">
        <v>3.2</v>
      </c>
      <c r="Q17" s="10">
        <v>2.5</v>
      </c>
      <c r="R17" s="10">
        <v>3.1</v>
      </c>
      <c r="S17" s="10">
        <v>2.2</v>
      </c>
      <c r="T17" s="18">
        <v>1.75</v>
      </c>
    </row>
    <row r="18" spans="1:20" ht="13.5">
      <c r="A18" s="1" t="s">
        <v>28</v>
      </c>
      <c r="B18" s="30">
        <f>25*B9</f>
        <v>7.5</v>
      </c>
      <c r="C18" s="3" t="s">
        <v>27</v>
      </c>
      <c r="D18" t="s">
        <v>71</v>
      </c>
      <c r="F18" s="1" t="s">
        <v>40</v>
      </c>
      <c r="G18" s="25">
        <f>G14*B7^2/8</f>
        <v>-102.27272727272725</v>
      </c>
      <c r="H18" s="3" t="s">
        <v>77</v>
      </c>
      <c r="I18" s="3" t="s">
        <v>100</v>
      </c>
      <c r="M18" s="9">
        <v>60</v>
      </c>
      <c r="N18" s="10">
        <v>4.4</v>
      </c>
      <c r="O18" s="10">
        <v>39</v>
      </c>
      <c r="P18" s="10">
        <v>3</v>
      </c>
      <c r="Q18" s="10">
        <v>2.6</v>
      </c>
      <c r="R18" s="10">
        <v>2.9</v>
      </c>
      <c r="S18" s="10">
        <v>2.3</v>
      </c>
      <c r="T18" s="18">
        <v>1.6</v>
      </c>
    </row>
    <row r="19" spans="1:20" ht="13.5">
      <c r="A19" s="1" t="s">
        <v>5</v>
      </c>
      <c r="B19" s="30">
        <v>2.5</v>
      </c>
      <c r="C19" s="3" t="s">
        <v>27</v>
      </c>
      <c r="D19" s="3" t="s">
        <v>72</v>
      </c>
      <c r="F19" s="1" t="s">
        <v>41</v>
      </c>
      <c r="G19" s="25">
        <f>B8*B9^2/6*(G10+G15)*1000</f>
        <v>71.9090909090909</v>
      </c>
      <c r="H19" s="3" t="s">
        <v>77</v>
      </c>
      <c r="I19" s="3"/>
      <c r="M19" s="9">
        <v>70</v>
      </c>
      <c r="N19" s="10">
        <v>4.6</v>
      </c>
      <c r="O19" s="10">
        <v>41</v>
      </c>
      <c r="P19" s="10">
        <v>2.8</v>
      </c>
      <c r="Q19" s="10">
        <v>2.7</v>
      </c>
      <c r="R19" s="10">
        <v>2.7</v>
      </c>
      <c r="S19" s="10">
        <v>2.4</v>
      </c>
      <c r="T19" s="18">
        <v>1.45</v>
      </c>
    </row>
    <row r="20" spans="1:20" ht="13.5">
      <c r="A20" s="1" t="s">
        <v>6</v>
      </c>
      <c r="B20" s="30">
        <v>0.33</v>
      </c>
      <c r="C20" s="3" t="s">
        <v>18</v>
      </c>
      <c r="D20" s="3" t="s">
        <v>73</v>
      </c>
      <c r="F20" s="5" t="s">
        <v>42</v>
      </c>
      <c r="G20" s="45">
        <f>G9/200</f>
        <v>2.1739130434782608</v>
      </c>
      <c r="H20" s="3" t="s">
        <v>78</v>
      </c>
      <c r="I20" s="3"/>
      <c r="M20" s="9">
        <v>80</v>
      </c>
      <c r="N20" s="10">
        <v>4.8</v>
      </c>
      <c r="O20" s="10">
        <v>42</v>
      </c>
      <c r="P20" s="10">
        <v>2.8</v>
      </c>
      <c r="Q20" s="10">
        <v>2.8</v>
      </c>
      <c r="R20" s="10">
        <v>2.6</v>
      </c>
      <c r="S20" s="10">
        <v>2.5</v>
      </c>
      <c r="T20" s="18">
        <v>1.4</v>
      </c>
    </row>
    <row r="21" spans="1:20" ht="13.5">
      <c r="A21" s="1" t="s">
        <v>29</v>
      </c>
      <c r="B21" s="30">
        <v>-0.12</v>
      </c>
      <c r="C21" s="3" t="s">
        <v>18</v>
      </c>
      <c r="D21" s="3" t="s">
        <v>109</v>
      </c>
      <c r="M21" s="13">
        <v>90</v>
      </c>
      <c r="N21" s="14">
        <v>5</v>
      </c>
      <c r="O21" s="14">
        <v>44</v>
      </c>
      <c r="P21" s="14">
        <v>2.8</v>
      </c>
      <c r="Q21" s="14">
        <v>2.8</v>
      </c>
      <c r="R21" s="14">
        <v>2.6</v>
      </c>
      <c r="S21" s="14">
        <v>2.6</v>
      </c>
      <c r="T21" s="19">
        <v>1.4</v>
      </c>
    </row>
    <row r="22" spans="1:4" ht="12">
      <c r="A22" s="5" t="s">
        <v>3</v>
      </c>
      <c r="B22" s="30">
        <v>0.18</v>
      </c>
      <c r="C22" s="3" t="s">
        <v>18</v>
      </c>
      <c r="D22" s="3" t="s">
        <v>110</v>
      </c>
    </row>
    <row r="23" spans="1:4" ht="13.5">
      <c r="A23" s="1" t="s">
        <v>30</v>
      </c>
      <c r="B23" s="30">
        <v>1560</v>
      </c>
      <c r="C23" s="3" t="s">
        <v>19</v>
      </c>
      <c r="D23" s="3" t="s">
        <v>74</v>
      </c>
    </row>
    <row r="24" spans="1:4" ht="13.5">
      <c r="A24" s="5" t="s">
        <v>31</v>
      </c>
      <c r="B24" s="30">
        <v>1250</v>
      </c>
      <c r="C24" s="3" t="s">
        <v>19</v>
      </c>
      <c r="D24" s="3" t="s">
        <v>75</v>
      </c>
    </row>
    <row r="25" spans="1:4" ht="13.5">
      <c r="A25" s="1" t="s">
        <v>43</v>
      </c>
      <c r="B25" s="30">
        <v>140</v>
      </c>
      <c r="C25" s="3" t="s">
        <v>77</v>
      </c>
      <c r="D25" s="3" t="s">
        <v>97</v>
      </c>
    </row>
    <row r="26" spans="1:19" ht="13.5">
      <c r="A26" s="1" t="s">
        <v>48</v>
      </c>
      <c r="B26" s="30">
        <v>190</v>
      </c>
      <c r="C26" s="3" t="s">
        <v>77</v>
      </c>
      <c r="D26" s="3" t="s">
        <v>98</v>
      </c>
      <c r="R26" s="54" t="str">
        <f>fiter(G13,B8,B9,B10,B21,G16,G17,B44,G12,G8,G9,B23)</f>
        <v> 675017790 0 189393939 1 657894736 1 134846507 0 712681818 2 488807831-1 626720955-1 523462258 2 482565763 3 135652173 4 713958810 1 200000000 2-837760090 1 148503913 4 675017790 0000000000000000000000000000000000000000000000000000000000000</v>
      </c>
      <c r="S26" t="s">
        <v>12</v>
      </c>
    </row>
    <row r="27" spans="1:4" ht="14.25" thickBot="1">
      <c r="A27" s="1" t="s">
        <v>40</v>
      </c>
      <c r="B27" s="31">
        <v>-110</v>
      </c>
      <c r="C27" s="3" t="s">
        <v>77</v>
      </c>
      <c r="D27" s="3" t="s">
        <v>101</v>
      </c>
    </row>
    <row r="28" ht="12.75" thickTop="1"/>
    <row r="29" ht="12"/>
    <row r="30" spans="1:3" ht="12">
      <c r="A30" s="6" t="s">
        <v>0</v>
      </c>
      <c r="C30" s="3"/>
    </row>
    <row r="31" spans="1:3" ht="12">
      <c r="A31" s="20" t="s">
        <v>96</v>
      </c>
      <c r="B31" s="34" t="s">
        <v>58</v>
      </c>
      <c r="C31" s="33" t="s">
        <v>59</v>
      </c>
    </row>
    <row r="32" spans="1:13" ht="13.5">
      <c r="A32" s="1" t="s">
        <v>43</v>
      </c>
      <c r="B32" s="32">
        <f>IF(B25=0,G16+G17,B25)+IF(B27=0,G18,B27)</f>
        <v>30</v>
      </c>
      <c r="C32" s="32">
        <f>B32</f>
        <v>30</v>
      </c>
      <c r="D32" s="3" t="s">
        <v>77</v>
      </c>
      <c r="M32" s="55"/>
    </row>
    <row r="33" spans="1:3" ht="13.5">
      <c r="A33" s="1" t="s">
        <v>44</v>
      </c>
      <c r="B33" s="25" t="str">
        <f>IF(B32&lt;G19,"oui","non")</f>
        <v>oui</v>
      </c>
      <c r="C33" s="25" t="s">
        <v>14</v>
      </c>
    </row>
    <row r="34" spans="1:4" ht="12">
      <c r="A34" s="1" t="s">
        <v>7</v>
      </c>
      <c r="B34" s="25">
        <f>G13</f>
        <v>0.5681818181818181</v>
      </c>
      <c r="C34" s="25">
        <f>G13-12*B17*G17*B21*G12/B9^3/1000000/1000</f>
        <v>0.5762824999999999</v>
      </c>
      <c r="D34" s="3" t="s">
        <v>36</v>
      </c>
    </row>
    <row r="35" spans="1:4" ht="13.5">
      <c r="A35" s="1" t="s">
        <v>45</v>
      </c>
      <c r="B35" s="26">
        <f>B32-G13*$B21*1000</f>
        <v>98.18181818181817</v>
      </c>
      <c r="C35" s="26">
        <f>C32-C34*$B21*1000+(C34/B34-1)*G18</f>
        <v>97.69577727272728</v>
      </c>
      <c r="D35" s="3" t="s">
        <v>77</v>
      </c>
    </row>
    <row r="36" spans="1:7" ht="12">
      <c r="A36" s="5" t="s">
        <v>1</v>
      </c>
      <c r="B36" s="25">
        <f>B35/$B8/$B10^2/1000</f>
        <v>1.3468013468013467</v>
      </c>
      <c r="C36" s="25">
        <f>C35/$B8/$B10^2/1000</f>
        <v>1.3401341189674525</v>
      </c>
      <c r="E36" s="1" t="s">
        <v>7</v>
      </c>
      <c r="F36" s="23">
        <f>G13</f>
        <v>0.5681818181818181</v>
      </c>
      <c r="G36" t="s">
        <v>36</v>
      </c>
    </row>
    <row r="37" spans="1:7" ht="12">
      <c r="A37" s="5" t="s">
        <v>46</v>
      </c>
      <c r="B37" s="25">
        <f>fal(B36,$B15,$B16)</f>
        <v>0.28281306124816075</v>
      </c>
      <c r="C37" s="25">
        <f>fal(C36,$B15,$B16)</f>
        <v>0.28220077637904295</v>
      </c>
      <c r="E37" s="1" t="s">
        <v>11</v>
      </c>
      <c r="F37" s="25">
        <f>macf(R$26,1)</f>
        <v>0.6750177900000001</v>
      </c>
      <c r="G37" t="s">
        <v>36</v>
      </c>
    </row>
    <row r="38" spans="1:7" ht="13.5">
      <c r="A38" s="1" t="s">
        <v>9</v>
      </c>
      <c r="B38" s="25">
        <f>$B10*(1-B37/3)</f>
        <v>0.24454682448766554</v>
      </c>
      <c r="C38" s="25">
        <f>$B10*(1-C37/3)</f>
        <v>0.24460193012588616</v>
      </c>
      <c r="D38" s="3" t="s">
        <v>18</v>
      </c>
      <c r="E38" s="5" t="s">
        <v>37</v>
      </c>
      <c r="F38" s="43">
        <f>macf(R$26,2)</f>
        <v>1.8939393</v>
      </c>
      <c r="G38" s="3" t="s">
        <v>19</v>
      </c>
    </row>
    <row r="39" spans="1:7" ht="13.5">
      <c r="A39" s="1" t="s">
        <v>47</v>
      </c>
      <c r="B39" s="27">
        <f>IF(B33="oui",0,(B35/B38-B34*1000)/$B15*10)</f>
        <v>0</v>
      </c>
      <c r="C39" s="27">
        <f>(C35/C38-C34*1000)/$B15*10</f>
        <v>-4.421881963766346</v>
      </c>
      <c r="D39" s="3" t="s">
        <v>93</v>
      </c>
      <c r="E39" s="5" t="s">
        <v>79</v>
      </c>
      <c r="F39" s="43">
        <f>macf(R$26,3)</f>
        <v>6.578947299999999</v>
      </c>
      <c r="G39" s="3" t="s">
        <v>78</v>
      </c>
    </row>
    <row r="40" spans="5:7" ht="13.5">
      <c r="E40" s="5" t="s">
        <v>86</v>
      </c>
      <c r="F40" s="43">
        <f>macf(R$26,4)</f>
        <v>0.1348465</v>
      </c>
      <c r="G40" s="3" t="s">
        <v>78</v>
      </c>
    </row>
    <row r="41" spans="1:7" ht="13.5">
      <c r="A41" s="6" t="s">
        <v>10</v>
      </c>
      <c r="E41" s="1" t="s">
        <v>49</v>
      </c>
      <c r="F41" s="25">
        <f>macf(R$26,5)</f>
        <v>71.268181</v>
      </c>
      <c r="G41" s="3" t="s">
        <v>77</v>
      </c>
    </row>
    <row r="42" spans="1:6" ht="12">
      <c r="A42" s="20" t="s">
        <v>96</v>
      </c>
      <c r="B42" s="33" t="str">
        <f>B31</f>
        <v>non</v>
      </c>
      <c r="C42" s="33" t="str">
        <f>C31</f>
        <v>oui</v>
      </c>
      <c r="E42" s="5" t="s">
        <v>18</v>
      </c>
      <c r="F42" s="25">
        <f>macf(R$26,6)</f>
        <v>0.048880783000000004</v>
      </c>
    </row>
    <row r="43" spans="1:6" ht="13.5">
      <c r="A43" s="1" t="s">
        <v>11</v>
      </c>
      <c r="B43" s="32">
        <f>G13+100*G12/1000000</f>
        <v>0.6136363636363635</v>
      </c>
      <c r="C43" s="56">
        <f>F51</f>
        <v>0.6750177900000001</v>
      </c>
      <c r="D43" s="3" t="s">
        <v>115</v>
      </c>
      <c r="E43" s="5" t="s">
        <v>50</v>
      </c>
      <c r="F43" s="25">
        <f>macf(R$26,7)</f>
        <v>0.062672095</v>
      </c>
    </row>
    <row r="44" spans="1:7" ht="13.5">
      <c r="A44" s="1" t="s">
        <v>48</v>
      </c>
      <c r="B44" s="25">
        <f>IF(B26=0,1.35*$G16+1.5*$G17,B26)+IF(B27=0,G18,B27)*B43/$B34</f>
        <v>71.20000000000002</v>
      </c>
      <c r="C44" s="25">
        <f>IF(B26=0,1.35*$G16+1.5*$G17,B26)+IF(B27=0,G18,B27)*C43/$B34</f>
        <v>59.31655585599998</v>
      </c>
      <c r="D44" s="3" t="s">
        <v>77</v>
      </c>
      <c r="E44" s="5" t="s">
        <v>80</v>
      </c>
      <c r="F44" s="25">
        <f>macf(R$26,8)</f>
        <v>52.346225</v>
      </c>
      <c r="G44" s="3" t="s">
        <v>78</v>
      </c>
    </row>
    <row r="45" spans="1:17" ht="13.5">
      <c r="A45" s="1" t="s">
        <v>49</v>
      </c>
      <c r="B45" s="25">
        <f>B44-B43*$B21*1000</f>
        <v>144.83636363636364</v>
      </c>
      <c r="C45" s="25">
        <f>C44-C43*$B21*1000</f>
        <v>140.31869065599997</v>
      </c>
      <c r="D45" s="3" t="s">
        <v>77</v>
      </c>
      <c r="E45" s="5" t="s">
        <v>81</v>
      </c>
      <c r="F45" s="26">
        <f>macf(R$26,9)</f>
        <v>482.56576</v>
      </c>
      <c r="G45" s="3" t="s">
        <v>19</v>
      </c>
      <c r="N45" t="s">
        <v>111</v>
      </c>
      <c r="Q45" s="1" t="s">
        <v>111</v>
      </c>
    </row>
    <row r="46" spans="1:17" ht="13.5">
      <c r="A46" s="5" t="s">
        <v>18</v>
      </c>
      <c r="B46" s="25">
        <f>B45/1000/$B8/$B10^2/$G8</f>
        <v>0.09933906970944009</v>
      </c>
      <c r="C46" s="25">
        <f>C45/1000/$B8/$B10^2/$B11*1.5</f>
        <v>0.09624052857064469</v>
      </c>
      <c r="E46" s="1" t="s">
        <v>82</v>
      </c>
      <c r="F46" s="24">
        <f>macf(R$26,10)</f>
        <v>1356.5217</v>
      </c>
      <c r="G46" s="3" t="s">
        <v>19</v>
      </c>
      <c r="N46" s="38" t="s">
        <v>106</v>
      </c>
      <c r="O46" s="39"/>
      <c r="P46" s="49"/>
      <c r="Q46" s="50" t="s">
        <v>114</v>
      </c>
    </row>
    <row r="47" spans="1:17" ht="13.5">
      <c r="A47" s="5" t="s">
        <v>50</v>
      </c>
      <c r="B47" s="25">
        <f>1.25*(1-SQRT(1-2*B46))</f>
        <v>0.13104271432820114</v>
      </c>
      <c r="C47" s="25">
        <f>1.25*(1-SQRT(1-2*C46))</f>
        <v>0.12672427774088543</v>
      </c>
      <c r="E47" s="5" t="s">
        <v>83</v>
      </c>
      <c r="F47" s="44">
        <f>macf(R$26,11)</f>
        <v>7.1395881</v>
      </c>
      <c r="G47" s="3" t="s">
        <v>78</v>
      </c>
      <c r="N47" s="42" t="s">
        <v>108</v>
      </c>
      <c r="O47" s="40"/>
      <c r="P47" s="46" t="s">
        <v>112</v>
      </c>
      <c r="Q47" s="51">
        <f>MAX(B39,B51)/10000*G9</f>
        <v>0</v>
      </c>
    </row>
    <row r="48" spans="1:17" ht="13.5">
      <c r="A48" s="1" t="s">
        <v>9</v>
      </c>
      <c r="B48" s="25">
        <f>$B10*(1-0.4*B47)</f>
        <v>0.2558473868525543</v>
      </c>
      <c r="C48" s="25">
        <f>$B10*(1-0.4*C47)</f>
        <v>0.25631377800398436</v>
      </c>
      <c r="D48" s="3" t="s">
        <v>18</v>
      </c>
      <c r="E48" s="5" t="s">
        <v>84</v>
      </c>
      <c r="F48" s="25">
        <f>macf(R$26,12)</f>
        <v>20</v>
      </c>
      <c r="G48" s="3" t="s">
        <v>78</v>
      </c>
      <c r="N48" s="46" t="s">
        <v>46</v>
      </c>
      <c r="O48" s="40">
        <f>0.32*G8</f>
        <v>6.4</v>
      </c>
      <c r="P48" s="46" t="s">
        <v>113</v>
      </c>
      <c r="Q48" s="51">
        <f>Q47+G13</f>
        <v>0.5681818181818181</v>
      </c>
    </row>
    <row r="49" spans="1:17" ht="13.5">
      <c r="A49" s="5" t="s">
        <v>51</v>
      </c>
      <c r="B49" s="25">
        <f>MIN(G11*(1-B47)/B47,22.5)</f>
        <v>22.5</v>
      </c>
      <c r="C49" s="25">
        <f>MIN(G11*(1-C47)/C47,22.5)</f>
        <v>22.5</v>
      </c>
      <c r="D49" s="3" t="s">
        <v>78</v>
      </c>
      <c r="E49" s="1" t="s">
        <v>53</v>
      </c>
      <c r="F49" s="24">
        <f>macf(R$26,13)</f>
        <v>-8.3776009</v>
      </c>
      <c r="G49" s="3" t="s">
        <v>93</v>
      </c>
      <c r="N49" s="46" t="s">
        <v>1</v>
      </c>
      <c r="O49" s="40">
        <f>-0.4*G8*2*B10</f>
        <v>-4.32</v>
      </c>
      <c r="P49" s="46" t="s">
        <v>50</v>
      </c>
      <c r="Q49" s="51">
        <f>Q48/0.8/G8</f>
        <v>0.03551136363636363</v>
      </c>
    </row>
    <row r="50" spans="1:17" ht="13.5">
      <c r="A50" s="5" t="s">
        <v>52</v>
      </c>
      <c r="B50" s="26">
        <f>IF(B49&lt;$G20,200*B49,$G9*(1+(0.05)*(B49-$G20)/(25-$G20)))</f>
        <v>454.14078674948246</v>
      </c>
      <c r="C50" s="26">
        <f>IF(C49&lt;$G20,200*C49,$G9*(1+(0.05)*(C49-$G20)/(25-$G20)))</f>
        <v>454.14078674948246</v>
      </c>
      <c r="D50" s="3" t="s">
        <v>19</v>
      </c>
      <c r="E50" s="5" t="s">
        <v>85</v>
      </c>
      <c r="F50" s="24">
        <f>macf(R$26,14)</f>
        <v>1485.0391</v>
      </c>
      <c r="G50" s="3" t="s">
        <v>19</v>
      </c>
      <c r="N50" s="46" t="s">
        <v>104</v>
      </c>
      <c r="O50" s="40">
        <f>G13*(B10-0.5*B9)+1.15*G19/1000</f>
        <v>0.15087727272727275</v>
      </c>
      <c r="P50" s="48" t="s">
        <v>54</v>
      </c>
      <c r="Q50" s="52">
        <f>Q48*(B9/2-0.4*Q49)+Q47*(B10-B9/2)</f>
        <v>0.07715650826446281</v>
      </c>
    </row>
    <row r="51" spans="1:15" ht="13.5">
      <c r="A51" s="1" t="s">
        <v>53</v>
      </c>
      <c r="B51" s="27">
        <f>(B45/B48-B43*1000)/B50*10</f>
        <v>-1.046632214621031</v>
      </c>
      <c r="C51" s="27">
        <f>(C45/C48-C43*1000)/C50*10</f>
        <v>-2.8090168045123303</v>
      </c>
      <c r="D51" s="3" t="s">
        <v>93</v>
      </c>
      <c r="E51" s="1" t="s">
        <v>11</v>
      </c>
      <c r="F51" s="25">
        <f>macf(R$26,15)</f>
        <v>0.6750177900000001</v>
      </c>
      <c r="G51" s="3" t="s">
        <v>36</v>
      </c>
      <c r="N51" s="47" t="s">
        <v>105</v>
      </c>
      <c r="O51" s="40">
        <f>O49^2-4*O48*O50</f>
        <v>14.79994181818182</v>
      </c>
    </row>
    <row r="52" spans="5:15" ht="12">
      <c r="E52" s="5" t="s">
        <v>15</v>
      </c>
      <c r="F52" s="45">
        <f>F51-F36</f>
        <v>0.10683597181818194</v>
      </c>
      <c r="G52" s="3" t="s">
        <v>36</v>
      </c>
      <c r="N52" s="46" t="s">
        <v>50</v>
      </c>
      <c r="O52" s="40">
        <f>(-O49+SQRT(O51))/2/O48</f>
        <v>0.6380522851957104</v>
      </c>
    </row>
    <row r="53" spans="1:15" ht="12">
      <c r="A53" s="4" t="s">
        <v>102</v>
      </c>
      <c r="N53" s="46" t="s">
        <v>50</v>
      </c>
      <c r="O53" s="40">
        <f>(-O49-SQRT(O51))/2/O48</f>
        <v>0.0369477148042896</v>
      </c>
    </row>
    <row r="54" spans="1:15" ht="13.5">
      <c r="A54" s="20" t="s">
        <v>96</v>
      </c>
      <c r="B54" s="28" t="str">
        <f>B42</f>
        <v>non</v>
      </c>
      <c r="C54" s="28" t="str">
        <f>C42</f>
        <v>oui</v>
      </c>
      <c r="N54" s="48" t="s">
        <v>107</v>
      </c>
      <c r="O54" s="41">
        <f>(0.8*O53*G8-G13)/G9*10000</f>
        <v>0.5285772297967559</v>
      </c>
    </row>
    <row r="55" spans="1:12" ht="13.5">
      <c r="A55" s="1" t="s">
        <v>54</v>
      </c>
      <c r="B55" s="23">
        <f>Q50*1000</f>
        <v>77.15650826446281</v>
      </c>
      <c r="C55" s="23" t="s">
        <v>14</v>
      </c>
      <c r="D55" s="3" t="s">
        <v>77</v>
      </c>
      <c r="K55" s="2"/>
      <c r="L55" s="2"/>
    </row>
    <row r="56" spans="1:12" ht="13.5">
      <c r="A56" s="1" t="s">
        <v>55</v>
      </c>
      <c r="B56" s="24">
        <f>B55/G19</f>
        <v>1.0729729341455005</v>
      </c>
      <c r="C56" s="25" t="s">
        <v>14</v>
      </c>
      <c r="K56" s="2"/>
      <c r="L56" s="2"/>
    </row>
    <row r="57" spans="2:3" ht="12">
      <c r="B57" s="25" t="str">
        <f>IF(B56&gt;1.15,"OK","KO")</f>
        <v>KO</v>
      </c>
      <c r="C57" s="25" t="s">
        <v>14</v>
      </c>
    </row>
    <row r="58" spans="1:4" ht="13.5">
      <c r="A58" s="1" t="s">
        <v>103</v>
      </c>
      <c r="B58" s="35">
        <f>IF(B56&lt;1.15,O54,0)</f>
        <v>0.5285772297967559</v>
      </c>
      <c r="C58" s="25" t="s">
        <v>14</v>
      </c>
      <c r="D58" s="3" t="s">
        <v>93</v>
      </c>
    </row>
    <row r="59" spans="1:4" ht="13.5">
      <c r="A59" s="1" t="s">
        <v>56</v>
      </c>
      <c r="B59" s="36" t="s">
        <v>14</v>
      </c>
      <c r="C59" s="37">
        <f>MAX(0,(0.26*G10-0.38*C43/B8/B9)*B8*B10/B13*10000)</f>
        <v>0</v>
      </c>
      <c r="D59" s="3" t="s">
        <v>93</v>
      </c>
    </row>
    <row r="60" spans="1:4" ht="13.5">
      <c r="A60" s="1" t="s">
        <v>57</v>
      </c>
      <c r="B60" s="53">
        <f>MAX(B39,B51,B58)</f>
        <v>0.5285772297967559</v>
      </c>
      <c r="C60" s="53">
        <f>MAX(0,fasm(C39,C51,C59))</f>
        <v>0</v>
      </c>
      <c r="D60" s="3" t="s">
        <v>93</v>
      </c>
    </row>
  </sheetData>
  <sheetProtection selectLockedCells="1" pivotTables="0"/>
  <conditionalFormatting sqref="B57">
    <cfRule type="cellIs" priority="1" dxfId="2" operator="equal" stopIfTrue="1">
      <formula>"KO"</formula>
    </cfRule>
  </conditionalFormatting>
  <conditionalFormatting sqref="B56">
    <cfRule type="cellIs" priority="2" dxfId="2" operator="lessThan" stopIfTrue="1">
      <formula>1.15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6"/>
  <drawing r:id="rId5"/>
  <legacyDrawing r:id="rId4"/>
  <oleObjects>
    <oleObject progId="Equation.3" shapeId="91859" r:id="rId2"/>
    <oleObject progId="Designer.Drawing.7" shapeId="23619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christian gelee</cp:lastModifiedBy>
  <dcterms:created xsi:type="dcterms:W3CDTF">2014-04-29T08:47:36Z</dcterms:created>
  <dcterms:modified xsi:type="dcterms:W3CDTF">2018-06-17T05:03:31Z</dcterms:modified>
  <cp:category/>
  <cp:version/>
  <cp:contentType/>
  <cp:contentStatus/>
</cp:coreProperties>
</file>