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40" windowHeight="10515" activeTab="0"/>
  </bookViews>
  <sheets>
    <sheet name="non déjaugé" sheetId="1" r:id="rId1"/>
    <sheet name="déjaugé" sheetId="2" r:id="rId2"/>
  </sheets>
  <definedNames/>
  <calcPr fullCalcOnLoad="1"/>
</workbook>
</file>

<file path=xl/sharedStrings.xml><?xml version="1.0" encoding="utf-8"?>
<sst xmlns="http://schemas.openxmlformats.org/spreadsheetml/2006/main" count="418" uniqueCount="151">
  <si>
    <t>B</t>
  </si>
  <si>
    <t>L</t>
  </si>
  <si>
    <t>H</t>
  </si>
  <si>
    <t>D</t>
  </si>
  <si>
    <t>profondeur d'encastrement</t>
  </si>
  <si>
    <t>m</t>
  </si>
  <si>
    <t>largeur de la semelle</t>
  </si>
  <si>
    <t>longueur de la semelle</t>
  </si>
  <si>
    <t>hauteur de la semelle</t>
  </si>
  <si>
    <t>poids volumique du béton</t>
  </si>
  <si>
    <t>kN</t>
  </si>
  <si>
    <t>kPa</t>
  </si>
  <si>
    <t>°</t>
  </si>
  <si>
    <t>Charges</t>
  </si>
  <si>
    <t>Sol</t>
  </si>
  <si>
    <t>a</t>
  </si>
  <si>
    <t>kNm</t>
  </si>
  <si>
    <t>moment dans le sens // B</t>
  </si>
  <si>
    <t>moment dans le sens // L</t>
  </si>
  <si>
    <t>excentricité // B</t>
  </si>
  <si>
    <t>excentricité // L</t>
  </si>
  <si>
    <t>B'</t>
  </si>
  <si>
    <t>L'</t>
  </si>
  <si>
    <t>A'</t>
  </si>
  <si>
    <t>A</t>
  </si>
  <si>
    <t>h</t>
  </si>
  <si>
    <t>q</t>
  </si>
  <si>
    <t>Vérification de la force portante du sol - Annexe F de la NF P94-261</t>
  </si>
  <si>
    <t>effort // à B au plan de la base de la semelle</t>
  </si>
  <si>
    <t>rd</t>
  </si>
  <si>
    <t>V</t>
  </si>
  <si>
    <t>c'</t>
  </si>
  <si>
    <t>coefficient sur les charges permanentes</t>
  </si>
  <si>
    <t>coefficient sur les charges variables</t>
  </si>
  <si>
    <t>L'auteur n'est pas</t>
  </si>
  <si>
    <t>responsable de</t>
  </si>
  <si>
    <t>l'usage fait de</t>
  </si>
  <si>
    <t>ce programme</t>
  </si>
  <si>
    <t>H. Thonier</t>
  </si>
  <si>
    <r>
      <t>kN/m</t>
    </r>
    <r>
      <rPr>
        <vertAlign val="super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</si>
  <si>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B</t>
    </r>
  </si>
  <si>
    <r>
      <t>H</t>
    </r>
    <r>
      <rPr>
        <vertAlign val="subscript"/>
        <sz val="9"/>
        <rFont val="Arial"/>
        <family val="2"/>
      </rPr>
      <t>L</t>
    </r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</si>
  <si>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</si>
  <si>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bscript"/>
        <sz val="9"/>
        <rFont val="Arial"/>
        <family val="2"/>
      </rPr>
      <t>B</t>
    </r>
  </si>
  <si>
    <r>
      <t>M</t>
    </r>
    <r>
      <rPr>
        <vertAlign val="subscript"/>
        <sz val="9"/>
        <rFont val="Arial"/>
        <family val="2"/>
      </rPr>
      <t>L</t>
    </r>
  </si>
  <si>
    <r>
      <t>g</t>
    </r>
    <r>
      <rPr>
        <vertAlign val="subscript"/>
        <sz val="9"/>
        <rFont val="Arial"/>
        <family val="2"/>
      </rPr>
      <t>G</t>
    </r>
  </si>
  <si>
    <r>
      <t>g</t>
    </r>
    <r>
      <rPr>
        <vertAlign val="subscript"/>
        <sz val="9"/>
        <rFont val="Arial"/>
        <family val="2"/>
      </rPr>
      <t>Q</t>
    </r>
  </si>
  <si>
    <r>
      <t>e</t>
    </r>
    <r>
      <rPr>
        <vertAlign val="subscript"/>
        <sz val="9"/>
        <rFont val="Arial"/>
        <family val="2"/>
      </rPr>
      <t>B</t>
    </r>
  </si>
  <si>
    <r>
      <t>e</t>
    </r>
    <r>
      <rPr>
        <vertAlign val="subscript"/>
        <sz val="9"/>
        <rFont val="Arial"/>
        <family val="2"/>
      </rPr>
      <t>L</t>
    </r>
  </si>
  <si>
    <r>
      <t>j</t>
    </r>
    <r>
      <rPr>
        <sz val="9"/>
        <rFont val="Arial"/>
        <family val="2"/>
      </rPr>
      <t>'</t>
    </r>
    <r>
      <rPr>
        <vertAlign val="subscript"/>
        <sz val="9"/>
        <rFont val="Arial"/>
        <family val="2"/>
      </rPr>
      <t>k</t>
    </r>
  </si>
  <si>
    <r>
      <t>c</t>
    </r>
    <r>
      <rPr>
        <vertAlign val="subscript"/>
        <sz val="9"/>
        <rFont val="Arial"/>
        <family val="2"/>
      </rPr>
      <t>u</t>
    </r>
  </si>
  <si>
    <r>
      <t>tan</t>
    </r>
    <r>
      <rPr>
        <sz val="9"/>
        <rFont val="Symbol"/>
        <family val="1"/>
      </rPr>
      <t>q</t>
    </r>
  </si>
  <si>
    <r>
      <t>b</t>
    </r>
    <r>
      <rPr>
        <vertAlign val="subscript"/>
        <sz val="9"/>
        <rFont val="Arial"/>
        <family val="2"/>
      </rPr>
      <t>c</t>
    </r>
  </si>
  <si>
    <r>
      <t>s</t>
    </r>
    <r>
      <rPr>
        <vertAlign val="subscript"/>
        <sz val="9"/>
        <rFont val="Arial"/>
        <family val="2"/>
      </rPr>
      <t>c</t>
    </r>
  </si>
  <si>
    <r>
      <t>i</t>
    </r>
    <r>
      <rPr>
        <vertAlign val="subscript"/>
        <sz val="9"/>
        <rFont val="Arial"/>
        <family val="2"/>
      </rPr>
      <t>c</t>
    </r>
  </si>
  <si>
    <r>
      <t>N</t>
    </r>
    <r>
      <rPr>
        <vertAlign val="subscript"/>
        <sz val="9"/>
        <rFont val="Arial"/>
        <family val="2"/>
      </rPr>
      <t>q</t>
    </r>
  </si>
  <si>
    <r>
      <t>N</t>
    </r>
    <r>
      <rPr>
        <vertAlign val="subscript"/>
        <sz val="9"/>
        <rFont val="Arial"/>
        <family val="2"/>
      </rPr>
      <t>c</t>
    </r>
  </si>
  <si>
    <r>
      <t>N</t>
    </r>
    <r>
      <rPr>
        <vertAlign val="subscript"/>
        <sz val="9"/>
        <rFont val="Symbol"/>
        <family val="1"/>
      </rPr>
      <t>g</t>
    </r>
  </si>
  <si>
    <r>
      <t>s</t>
    </r>
    <r>
      <rPr>
        <vertAlign val="subscript"/>
        <sz val="9"/>
        <rFont val="Arial"/>
        <family val="2"/>
      </rPr>
      <t>q</t>
    </r>
  </si>
  <si>
    <r>
      <t>s</t>
    </r>
    <r>
      <rPr>
        <vertAlign val="subscript"/>
        <sz val="9"/>
        <rFont val="Symbol"/>
        <family val="1"/>
      </rPr>
      <t>g</t>
    </r>
  </si>
  <si>
    <r>
      <t>b</t>
    </r>
    <r>
      <rPr>
        <vertAlign val="subscript"/>
        <sz val="9"/>
        <rFont val="Arial"/>
        <family val="2"/>
      </rPr>
      <t>q</t>
    </r>
  </si>
  <si>
    <r>
      <t>b</t>
    </r>
    <r>
      <rPr>
        <vertAlign val="subscript"/>
        <sz val="9"/>
        <rFont val="Symbol"/>
        <family val="1"/>
      </rPr>
      <t>g</t>
    </r>
  </si>
  <si>
    <r>
      <t>m</t>
    </r>
    <r>
      <rPr>
        <vertAlign val="subscript"/>
        <sz val="9"/>
        <rFont val="Arial"/>
        <family val="2"/>
      </rPr>
      <t>B</t>
    </r>
  </si>
  <si>
    <r>
      <t>m</t>
    </r>
    <r>
      <rPr>
        <vertAlign val="subscript"/>
        <sz val="9"/>
        <rFont val="Arial"/>
        <family val="2"/>
      </rPr>
      <t>L</t>
    </r>
  </si>
  <si>
    <r>
      <t>i</t>
    </r>
    <r>
      <rPr>
        <vertAlign val="subscript"/>
        <sz val="9"/>
        <rFont val="Arial"/>
        <family val="2"/>
      </rPr>
      <t>q</t>
    </r>
  </si>
  <si>
    <r>
      <t>i</t>
    </r>
    <r>
      <rPr>
        <vertAlign val="subscript"/>
        <sz val="9"/>
        <rFont val="Symbol"/>
        <family val="1"/>
      </rPr>
      <t>g</t>
    </r>
  </si>
  <si>
    <t>Calculs intermédiaires</t>
  </si>
  <si>
    <t>cohésion non drainée</t>
  </si>
  <si>
    <t>142 - Semelle rectangulaire - force portante par la méthode analytique</t>
  </si>
  <si>
    <t>Tab. 9.8.1 - coefficient partiel de résistance</t>
  </si>
  <si>
    <r>
      <t>G</t>
    </r>
    <r>
      <rPr>
        <vertAlign val="subscript"/>
        <sz val="9"/>
        <rFont val="Arial"/>
        <family val="2"/>
      </rPr>
      <t>0</t>
    </r>
  </si>
  <si>
    <r>
      <t>Q</t>
    </r>
    <r>
      <rPr>
        <vertAlign val="subscript"/>
        <sz val="9"/>
        <rFont val="Arial"/>
        <family val="2"/>
      </rPr>
      <t>0</t>
    </r>
  </si>
  <si>
    <t>permanentes en pied de poteau au niveau su sol fini</t>
  </si>
  <si>
    <t>variables au même niveau</t>
  </si>
  <si>
    <t>charge variable sur le terrain fini</t>
  </si>
  <si>
    <r>
      <t>kN/m</t>
    </r>
    <r>
      <rPr>
        <vertAlign val="superscript"/>
        <sz val="9"/>
        <rFont val="Arial"/>
        <family val="2"/>
      </rPr>
      <t>2</t>
    </r>
  </si>
  <si>
    <r>
      <t>G</t>
    </r>
    <r>
      <rPr>
        <vertAlign val="subscript"/>
        <sz val="9"/>
        <rFont val="Arial"/>
        <family val="2"/>
      </rPr>
      <t>1</t>
    </r>
  </si>
  <si>
    <r>
      <t>Q</t>
    </r>
    <r>
      <rPr>
        <vertAlign val="subscript"/>
        <sz val="9"/>
        <rFont val="Arial"/>
        <family val="2"/>
      </rPr>
      <t>1</t>
    </r>
  </si>
  <si>
    <r>
      <t>g</t>
    </r>
    <r>
      <rPr>
        <vertAlign val="subscript"/>
        <sz val="9"/>
        <rFont val="Arial"/>
        <family val="2"/>
      </rPr>
      <t>h</t>
    </r>
  </si>
  <si>
    <t>poids volumique humide du sol</t>
  </si>
  <si>
    <t>poids volumique saturé du sol</t>
  </si>
  <si>
    <r>
      <t>g</t>
    </r>
    <r>
      <rPr>
        <vertAlign val="subscript"/>
        <sz val="9"/>
        <rFont val="Arial"/>
        <family val="2"/>
      </rPr>
      <t>sat</t>
    </r>
  </si>
  <si>
    <t>= q.(B.L - a.b)</t>
  </si>
  <si>
    <t>b</t>
  </si>
  <si>
    <t>côté du poteau // B</t>
  </si>
  <si>
    <t>côté du poteau // L</t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</si>
  <si>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(G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+ G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 xml:space="preserve">)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(Q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 xml:space="preserve"> + Q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)</t>
    </r>
  </si>
  <si>
    <r>
      <t>g</t>
    </r>
    <r>
      <rPr>
        <vertAlign val="subscript"/>
        <sz val="9"/>
        <rFont val="Arial"/>
        <family val="2"/>
      </rPr>
      <t>w</t>
    </r>
  </si>
  <si>
    <r>
      <t>h</t>
    </r>
    <r>
      <rPr>
        <vertAlign val="subscript"/>
        <sz val="9"/>
        <rFont val="Arial"/>
        <family val="2"/>
      </rPr>
      <t>w</t>
    </r>
  </si>
  <si>
    <t>inclinaison de la sous-face de la semelle</t>
  </si>
  <si>
    <t>poids volumique de l'eau</t>
  </si>
  <si>
    <t>cohésion effective du sol (drainé)</t>
  </si>
  <si>
    <t>angle de frottement interne (drainé)</t>
  </si>
  <si>
    <t>Tab. F.3.3</t>
  </si>
  <si>
    <t>surface de la semelle : B.L</t>
  </si>
  <si>
    <t>surface effective de la semelle : B'.L'</t>
  </si>
  <si>
    <r>
      <t>j</t>
    </r>
    <r>
      <rPr>
        <sz val="9"/>
        <rFont val="Arial"/>
        <family val="2"/>
      </rPr>
      <t>'</t>
    </r>
  </si>
  <si>
    <t>largeur effective Annexe Q</t>
  </si>
  <si>
    <t>longueur effective Annexe Q</t>
  </si>
  <si>
    <t>non drainé sols purement cohérents</t>
  </si>
  <si>
    <t>§F1</t>
  </si>
  <si>
    <r>
      <t>R</t>
    </r>
    <r>
      <rPr>
        <vertAlign val="subscript"/>
        <sz val="9"/>
        <rFont val="Arial"/>
        <family val="2"/>
      </rPr>
      <t>0</t>
    </r>
  </si>
  <si>
    <r>
      <t>coefficient de base inclinée - Tab. F3.2 : = 1 - 2</t>
    </r>
    <r>
      <rPr>
        <sz val="9"/>
        <rFont val="Symbol"/>
        <family val="1"/>
      </rPr>
      <t>a</t>
    </r>
    <r>
      <rPr>
        <sz val="9"/>
        <rFont val="Arial"/>
        <family val="0"/>
      </rPr>
      <t xml:space="preserve"> / (</t>
    </r>
    <r>
      <rPr>
        <sz val="9"/>
        <rFont val="Symbol"/>
        <family val="1"/>
      </rPr>
      <t>p</t>
    </r>
    <r>
      <rPr>
        <sz val="9"/>
        <rFont val="Arial"/>
        <family val="0"/>
      </rPr>
      <t xml:space="preserve"> + 2)</t>
    </r>
  </si>
  <si>
    <t>coefficient de forme - Tab. F3.2 = 1 + 0,2 B'/L'</t>
  </si>
  <si>
    <r>
      <t>coefficient d'inclinaison de charge - Tab. F3.2 : = 0,5[1 + (1 - H/(A'.c</t>
    </r>
    <r>
      <rPr>
        <vertAlign val="subscript"/>
        <sz val="9"/>
        <rFont val="Arial"/>
        <family val="2"/>
      </rPr>
      <t>u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)]</t>
    </r>
  </si>
  <si>
    <r>
      <t>q</t>
    </r>
    <r>
      <rPr>
        <vertAlign val="subscript"/>
        <sz val="9"/>
        <rFont val="Arial"/>
        <family val="2"/>
      </rPr>
      <t>net</t>
    </r>
  </si>
  <si>
    <r>
      <t>V</t>
    </r>
    <r>
      <rPr>
        <vertAlign val="subscript"/>
        <sz val="9"/>
        <rFont val="Arial"/>
        <family val="2"/>
      </rPr>
      <t>d</t>
    </r>
    <r>
      <rPr>
        <sz val="9"/>
        <rFont val="Arial"/>
        <family val="0"/>
      </rPr>
      <t xml:space="preserve"> - R</t>
    </r>
    <r>
      <rPr>
        <vertAlign val="subscript"/>
        <sz val="9"/>
        <rFont val="Arial"/>
        <family val="2"/>
      </rPr>
      <t>0</t>
    </r>
  </si>
  <si>
    <r>
      <t>V</t>
    </r>
    <r>
      <rPr>
        <vertAlign val="subscript"/>
        <sz val="9"/>
        <rFont val="Arial"/>
        <family val="2"/>
      </rPr>
      <t>d</t>
    </r>
  </si>
  <si>
    <r>
      <t>R</t>
    </r>
    <r>
      <rPr>
        <vertAlign val="subscript"/>
        <sz val="9"/>
        <rFont val="Arial"/>
        <family val="2"/>
      </rPr>
      <t>v,d</t>
    </r>
  </si>
  <si>
    <r>
      <t>charge portante = A'.q</t>
    </r>
    <r>
      <rPr>
        <vertAlign val="subscript"/>
        <sz val="9"/>
        <rFont val="Arial"/>
        <family val="2"/>
      </rPr>
      <t>net</t>
    </r>
    <r>
      <rPr>
        <sz val="9"/>
        <rFont val="Arial"/>
        <family val="0"/>
      </rPr>
      <t xml:space="preserve"> / (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R,d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R,v</t>
    </r>
    <r>
      <rPr>
        <sz val="9"/>
        <rFont val="Arial"/>
        <family val="0"/>
      </rPr>
      <t>)</t>
    </r>
  </si>
  <si>
    <r>
      <t>g</t>
    </r>
    <r>
      <rPr>
        <vertAlign val="subscript"/>
        <sz val="9"/>
        <rFont val="Arial"/>
        <family val="2"/>
      </rPr>
      <t>R,v</t>
    </r>
  </si>
  <si>
    <r>
      <t>g</t>
    </r>
    <r>
      <rPr>
        <vertAlign val="subscript"/>
        <sz val="9"/>
        <rFont val="Arial"/>
        <family val="2"/>
      </rPr>
      <t>R,d</t>
    </r>
  </si>
  <si>
    <r>
      <t xml:space="preserve">Tab. F.3.3 : = (1 - </t>
    </r>
    <r>
      <rPr>
        <sz val="9"/>
        <rFont val="Symbol"/>
        <family val="1"/>
      </rPr>
      <t>a</t>
    </r>
    <r>
      <rPr>
        <sz val="9"/>
        <rFont val="Arial"/>
        <family val="0"/>
      </rPr>
      <t>.tan</t>
    </r>
    <r>
      <rPr>
        <sz val="9"/>
        <rFont val="Symbol"/>
        <family val="1"/>
      </rPr>
      <t>j</t>
    </r>
    <r>
      <rPr>
        <sz val="9"/>
        <rFont val="Arial"/>
        <family val="0"/>
      </rPr>
      <t>')</t>
    </r>
    <r>
      <rPr>
        <vertAlign val="superscript"/>
        <sz val="9"/>
        <rFont val="Arial"/>
        <family val="2"/>
      </rPr>
      <t>2</t>
    </r>
  </si>
  <si>
    <r>
      <t>Tab. F.3.3 : = (N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 xml:space="preserve"> - 1) / tan</t>
    </r>
    <r>
      <rPr>
        <sz val="9"/>
        <rFont val="Symbol"/>
        <family val="1"/>
      </rPr>
      <t>j</t>
    </r>
    <r>
      <rPr>
        <sz val="9"/>
        <rFont val="Arial"/>
        <family val="0"/>
      </rPr>
      <t>'</t>
    </r>
  </si>
  <si>
    <r>
      <t>Tab. F.3.3 : = 2 (N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 xml:space="preserve"> - 1).tan</t>
    </r>
    <r>
      <rPr>
        <sz val="9"/>
        <rFont val="Symbol"/>
        <family val="1"/>
      </rPr>
      <t>j</t>
    </r>
    <r>
      <rPr>
        <sz val="9"/>
        <rFont val="Arial"/>
        <family val="0"/>
      </rPr>
      <t>'</t>
    </r>
  </si>
  <si>
    <r>
      <t>Tab. F.3.3 : = (s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.N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 xml:space="preserve"> - 1) / (N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 xml:space="preserve"> - 1)</t>
    </r>
  </si>
  <si>
    <t>Eq. F.3.3.2 : = (2 + B'/L') / (1 + B'/L')</t>
  </si>
  <si>
    <t>Eq. F.3.3.3 : = (2 + L'/B') / (1 + L'/B')</t>
  </si>
  <si>
    <r>
      <t>Eq. F.3.3.4 : = m</t>
    </r>
    <r>
      <rPr>
        <vertAlign val="subscript"/>
        <sz val="9"/>
        <rFont val="Arial"/>
        <family val="2"/>
      </rPr>
      <t>L</t>
    </r>
    <r>
      <rPr>
        <sz val="9"/>
        <rFont val="Arial"/>
        <family val="0"/>
      </rPr>
      <t>.cos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  <r>
      <rPr>
        <sz val="9"/>
        <rFont val="Arial"/>
        <family val="0"/>
      </rPr>
      <t xml:space="preserve"> + m</t>
    </r>
    <r>
      <rPr>
        <vertAlign val="subscript"/>
        <sz val="9"/>
        <rFont val="Arial"/>
        <family val="2"/>
      </rPr>
      <t>B</t>
    </r>
    <r>
      <rPr>
        <sz val="9"/>
        <rFont val="Arial"/>
        <family val="0"/>
      </rPr>
      <t>.sin</t>
    </r>
    <r>
      <rPr>
        <vertAlign val="superscript"/>
        <sz val="9"/>
        <rFont val="Arial"/>
        <family val="2"/>
      </rPr>
      <t>2</t>
    </r>
    <r>
      <rPr>
        <sz val="9"/>
        <rFont val="Symbol"/>
        <family val="1"/>
      </rPr>
      <t>q</t>
    </r>
  </si>
  <si>
    <r>
      <t>Tab. F.3.3 : = i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.(1 - i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) / (N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.tan</t>
    </r>
    <r>
      <rPr>
        <sz val="9"/>
        <rFont val="Symbol"/>
        <family val="1"/>
      </rPr>
      <t>j</t>
    </r>
    <r>
      <rPr>
        <sz val="9"/>
        <rFont val="Arial"/>
        <family val="0"/>
      </rPr>
      <t>')</t>
    </r>
  </si>
  <si>
    <r>
      <t>Eq. 3.3.1 : = c'.N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.b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.s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.i</t>
    </r>
    <r>
      <rPr>
        <vertAlign val="subscript"/>
        <sz val="9"/>
        <rFont val="Arial"/>
        <family val="2"/>
      </rPr>
      <t xml:space="preserve">c </t>
    </r>
    <r>
      <rPr>
        <sz val="9"/>
        <rFont val="Arial"/>
        <family val="2"/>
      </rPr>
      <t>+ q'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>.(N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 xml:space="preserve"> - 1).b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.s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>.i</t>
    </r>
    <r>
      <rPr>
        <vertAlign val="subscript"/>
        <sz val="9"/>
        <rFont val="Arial"/>
        <family val="2"/>
      </rPr>
      <t>q</t>
    </r>
    <r>
      <rPr>
        <sz val="9"/>
        <rFont val="Arial"/>
        <family val="2"/>
      </rPr>
      <t xml:space="preserve"> + 0,5</t>
    </r>
    <r>
      <rPr>
        <sz val="9"/>
        <rFont val="Symbol"/>
        <family val="1"/>
      </rPr>
      <t>g</t>
    </r>
    <r>
      <rPr>
        <sz val="9"/>
        <rFont val="Arial"/>
        <family val="2"/>
      </rPr>
      <t>'.B'.N</t>
    </r>
    <r>
      <rPr>
        <vertAlign val="subscript"/>
        <sz val="9"/>
        <rFont val="Symbol"/>
        <family val="1"/>
      </rPr>
      <t>g</t>
    </r>
    <r>
      <rPr>
        <sz val="9"/>
        <rFont val="Arial"/>
        <family val="2"/>
      </rPr>
      <t>.b</t>
    </r>
    <r>
      <rPr>
        <vertAlign val="subscript"/>
        <sz val="9"/>
        <rFont val="Symbol"/>
        <family val="1"/>
      </rPr>
      <t>g</t>
    </r>
    <r>
      <rPr>
        <sz val="9"/>
        <rFont val="Arial"/>
        <family val="2"/>
      </rPr>
      <t>.s</t>
    </r>
    <r>
      <rPr>
        <vertAlign val="subscript"/>
        <sz val="9"/>
        <rFont val="Symbol"/>
        <family val="1"/>
      </rPr>
      <t>g</t>
    </r>
    <r>
      <rPr>
        <sz val="9"/>
        <rFont val="Arial"/>
        <family val="2"/>
      </rPr>
      <t>.i</t>
    </r>
    <r>
      <rPr>
        <vertAlign val="subscript"/>
        <sz val="9"/>
        <rFont val="Symbol"/>
        <family val="1"/>
      </rPr>
      <t>g</t>
    </r>
  </si>
  <si>
    <r>
      <t>q'</t>
    </r>
    <r>
      <rPr>
        <vertAlign val="subscript"/>
        <sz val="9"/>
        <rFont val="Arial"/>
        <family val="2"/>
      </rPr>
      <t>0</t>
    </r>
  </si>
  <si>
    <r>
      <t>Vérification</t>
    </r>
    <r>
      <rPr>
        <sz val="9"/>
        <rFont val="Arial"/>
        <family val="2"/>
      </rPr>
      <t xml:space="preserve"> : OK si &lt; 1</t>
    </r>
  </si>
  <si>
    <t>conditions drainées</t>
  </si>
  <si>
    <t>en conditions non drainées</t>
  </si>
  <si>
    <t>en conditions drainées</t>
  </si>
  <si>
    <r>
      <t xml:space="preserve">Eq. F.3.2.1 : = ( </t>
    </r>
    <r>
      <rPr>
        <sz val="9"/>
        <rFont val="Symbol"/>
        <family val="1"/>
      </rPr>
      <t xml:space="preserve">p </t>
    </r>
    <r>
      <rPr>
        <sz val="9"/>
        <rFont val="Arial"/>
        <family val="0"/>
      </rPr>
      <t>+ 2).c</t>
    </r>
    <r>
      <rPr>
        <vertAlign val="subscript"/>
        <sz val="9"/>
        <rFont val="Arial"/>
        <family val="2"/>
      </rPr>
      <t>u</t>
    </r>
    <r>
      <rPr>
        <sz val="9"/>
        <rFont val="Arial"/>
        <family val="0"/>
      </rPr>
      <t>.b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.s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.i</t>
    </r>
    <r>
      <rPr>
        <vertAlign val="subscript"/>
        <sz val="9"/>
        <rFont val="Arial"/>
        <family val="2"/>
      </rPr>
      <t xml:space="preserve">c </t>
    </r>
  </si>
  <si>
    <t>hauteur d'eau au-dessus du plan de la base de la semelle (si -1 : pas d'eau) (le niveau d'eau n'est pas supérieur à celui du terrain)</t>
  </si>
  <si>
    <r>
      <t>g</t>
    </r>
    <r>
      <rPr>
        <vertAlign val="subscript"/>
        <sz val="9"/>
        <rFont val="Arial"/>
        <family val="2"/>
      </rPr>
      <t>c</t>
    </r>
  </si>
  <si>
    <t>effort // à L au plan de la base de la semelle</t>
  </si>
  <si>
    <r>
      <t xml:space="preserve">1 - Conditions non drainées </t>
    </r>
    <r>
      <rPr>
        <sz val="9"/>
        <rFont val="Arial"/>
        <family val="2"/>
      </rPr>
      <t>(sols fins, argiles, limons, marnes, ...)</t>
    </r>
  </si>
  <si>
    <r>
      <t>2 - Conditions drainées</t>
    </r>
    <r>
      <rPr>
        <sz val="9"/>
        <rFont val="Arial"/>
        <family val="2"/>
      </rPr>
      <t xml:space="preserve"> (sols fins et sols grenus, sables, ...)</t>
    </r>
  </si>
  <si>
    <r>
      <t>Tab. F.3.3 : = [1 - H / (V + A'c'/tan</t>
    </r>
    <r>
      <rPr>
        <sz val="9"/>
        <rFont val="Symbol"/>
        <family val="1"/>
      </rPr>
      <t>j</t>
    </r>
    <r>
      <rPr>
        <sz val="9"/>
        <rFont val="Arial"/>
        <family val="0"/>
      </rPr>
      <t>')]</t>
    </r>
    <r>
      <rPr>
        <vertAlign val="superscript"/>
        <sz val="9"/>
        <rFont val="Arial"/>
        <family val="2"/>
      </rPr>
      <t>m</t>
    </r>
  </si>
  <si>
    <r>
      <t>Tab. F.3.3 : = 1 + sin</t>
    </r>
    <r>
      <rPr>
        <sz val="9"/>
        <rFont val="Symbol"/>
        <family val="1"/>
      </rPr>
      <t>j</t>
    </r>
    <r>
      <rPr>
        <sz val="9"/>
        <rFont val="Arial"/>
        <family val="0"/>
      </rPr>
      <t>'.B' / L'</t>
    </r>
  </si>
  <si>
    <r>
      <t>Tab. F.3.3 : = e</t>
    </r>
    <r>
      <rPr>
        <vertAlign val="superscript"/>
        <sz val="9"/>
        <rFont val="Symbol"/>
        <family val="1"/>
      </rPr>
      <t>p</t>
    </r>
    <r>
      <rPr>
        <vertAlign val="superscript"/>
        <sz val="9"/>
        <rFont val="Arial"/>
        <family val="0"/>
      </rPr>
      <t>.tan</t>
    </r>
    <r>
      <rPr>
        <vertAlign val="superscript"/>
        <sz val="9"/>
        <rFont val="Symbol"/>
        <family val="1"/>
      </rPr>
      <t>j</t>
    </r>
    <r>
      <rPr>
        <vertAlign val="superscript"/>
        <sz val="9"/>
        <rFont val="Arial"/>
        <family val="2"/>
      </rPr>
      <t>'</t>
    </r>
    <r>
      <rPr>
        <sz val="9"/>
        <rFont val="Arial"/>
        <family val="0"/>
      </rPr>
      <t>.tan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[</t>
    </r>
    <r>
      <rPr>
        <sz val="9"/>
        <rFont val="Symbol"/>
        <family val="1"/>
      </rPr>
      <t>p</t>
    </r>
    <r>
      <rPr>
        <sz val="9"/>
        <rFont val="Arial"/>
        <family val="0"/>
      </rPr>
      <t xml:space="preserve"> / 4 + </t>
    </r>
    <r>
      <rPr>
        <sz val="9"/>
        <rFont val="Symbol"/>
        <family val="1"/>
      </rPr>
      <t>j</t>
    </r>
    <r>
      <rPr>
        <sz val="9"/>
        <rFont val="Arial"/>
        <family val="0"/>
      </rPr>
      <t>' / 2]</t>
    </r>
  </si>
  <si>
    <r>
      <t>Tab. F.3.3 :=  [1 - H / (V + A'c'/tan</t>
    </r>
    <r>
      <rPr>
        <sz val="9"/>
        <rFont val="Symbol"/>
        <family val="1"/>
      </rPr>
      <t>j</t>
    </r>
    <r>
      <rPr>
        <sz val="9"/>
        <rFont val="Arial"/>
        <family val="0"/>
      </rPr>
      <t>')]</t>
    </r>
    <r>
      <rPr>
        <vertAlign val="superscript"/>
        <sz val="9"/>
        <rFont val="Arial"/>
        <family val="2"/>
      </rPr>
      <t>m+1</t>
    </r>
  </si>
  <si>
    <t>Eurocode 7 et NF P94-261</t>
  </si>
  <si>
    <t>9 septembre 2012</t>
  </si>
  <si>
    <r>
      <t>q</t>
    </r>
    <r>
      <rPr>
        <vertAlign val="subscript"/>
        <sz val="9"/>
        <rFont val="Arial"/>
        <family val="0"/>
      </rPr>
      <t>0</t>
    </r>
  </si>
  <si>
    <r>
      <t xml:space="preserve"> '=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   </t>
    </r>
  </si>
  <si>
    <r>
      <t xml:space="preserve">poids du volume de sol 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.B.L.h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.B.L.(D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</t>
    </r>
  </si>
  <si>
    <r>
      <t>= (H</t>
    </r>
    <r>
      <rPr>
        <vertAlign val="subscript"/>
        <sz val="9"/>
        <rFont val="Arial"/>
        <family val="0"/>
      </rPr>
      <t>B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+H</t>
    </r>
    <r>
      <rPr>
        <vertAlign val="subscript"/>
        <sz val="9"/>
        <rFont val="Arial"/>
        <family val="0"/>
      </rPr>
      <t>L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)</t>
    </r>
    <r>
      <rPr>
        <vertAlign val="superscript"/>
        <sz val="9"/>
        <rFont val="Arial"/>
        <family val="0"/>
      </rPr>
      <t>0,5</t>
    </r>
    <r>
      <rPr>
        <sz val="9"/>
        <rFont val="Arial"/>
        <family val="0"/>
      </rPr>
      <t xml:space="preserve"> </t>
    </r>
  </si>
  <si>
    <r>
      <t>poids du volume de sol = (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 xml:space="preserve"> -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).B.L.h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..B.L.(D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  </t>
    </r>
    <r>
      <rPr>
        <b/>
        <sz val="9"/>
        <rFont val="Arial"/>
        <family val="2"/>
      </rPr>
      <t>ou bien</t>
    </r>
    <r>
      <rPr>
        <sz val="9"/>
        <rFont val="Arial"/>
        <family val="2"/>
      </rPr>
      <t xml:space="preserve">  =</t>
    </r>
    <r>
      <rPr>
        <sz val="9"/>
        <rFont val="Arial"/>
        <family val="0"/>
      </rPr>
      <t xml:space="preserve">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.D.B.L si pas d'eau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</si>
  <si>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.B.L.h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.(D - h).a.b + </t>
    </r>
    <r>
      <rPr>
        <sz val="9"/>
        <rFont val="Symbol"/>
        <family val="1"/>
      </rPr>
      <t>g</t>
    </r>
    <r>
      <rPr>
        <sz val="9"/>
        <rFont val="Arial"/>
        <family val="2"/>
      </rPr>
      <t>'</t>
    </r>
    <r>
      <rPr>
        <vertAlign val="subscript"/>
        <sz val="9"/>
        <rFont val="Arial"/>
        <family val="2"/>
      </rPr>
      <t>sat.</t>
    </r>
    <r>
      <rPr>
        <sz val="9"/>
        <rFont val="Arial"/>
        <family val="0"/>
      </rPr>
      <t>(h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-h).(B.L - a.b)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).(B.L - a.b) </t>
    </r>
    <r>
      <rPr>
        <b/>
        <sz val="9"/>
        <rFont val="Arial"/>
        <family val="2"/>
      </rPr>
      <t>ou bien</t>
    </r>
    <r>
      <rPr>
        <sz val="9"/>
        <rFont val="Arial"/>
        <family val="0"/>
      </rPr>
      <t xml:space="preserve">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.B.L.h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.(D - h).a.b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 xml:space="preserve">.(D - h).(B.L - a.b) </t>
    </r>
  </si>
  <si>
    <r>
      <t xml:space="preserve"> '= </t>
    </r>
    <r>
      <rPr>
        <sz val="9"/>
        <rFont val="Symbol"/>
        <family val="1"/>
      </rPr>
      <t>g</t>
    </r>
    <r>
      <rPr>
        <sz val="9"/>
        <rFont val="Arial"/>
        <family val="2"/>
      </rPr>
      <t>'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   </t>
    </r>
  </si>
  <si>
    <r>
      <t xml:space="preserve">= </t>
    </r>
    <r>
      <rPr>
        <sz val="9"/>
        <rFont val="Symbol"/>
        <family val="1"/>
      </rPr>
      <t>g</t>
    </r>
    <r>
      <rPr>
        <sz val="9"/>
        <rFont val="Arial"/>
        <family val="0"/>
      </rPr>
      <t>'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.B.L.h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.B.L.(D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</si>
  <si>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   </t>
    </r>
  </si>
  <si>
    <r>
      <t>2 - Conditions drainées</t>
    </r>
    <r>
      <rPr>
        <sz val="9"/>
        <rFont val="Arial"/>
        <family val="2"/>
      </rPr>
      <t xml:space="preserve"> (sols grenus, sables, ...)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</si>
  <si>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>)   poids du terrain excavé</t>
    </r>
  </si>
  <si>
    <r>
      <t xml:space="preserve">poids du volume de sol = </t>
    </r>
    <r>
      <rPr>
        <sz val="9"/>
        <rFont val="Arial"/>
        <family val="0"/>
      </rPr>
      <t>q</t>
    </r>
    <r>
      <rPr>
        <vertAlign val="subscript"/>
        <sz val="9"/>
        <rFont val="Arial"/>
        <family val="2"/>
      </rPr>
      <t>0</t>
    </r>
    <r>
      <rPr>
        <sz val="9"/>
        <rFont val="Arial"/>
        <family val="0"/>
      </rPr>
      <t>.B.L</t>
    </r>
  </si>
  <si>
    <r>
      <t xml:space="preserve">=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.B.L.h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.(D - h).a.b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sat</t>
    </r>
    <r>
      <rPr>
        <sz val="9"/>
        <rFont val="Arial"/>
        <family val="0"/>
      </rPr>
      <t>.(h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-h).(B.L - a.b)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.(D - h</t>
    </r>
    <r>
      <rPr>
        <vertAlign val="subscript"/>
        <sz val="9"/>
        <rFont val="Arial"/>
        <family val="2"/>
      </rPr>
      <t>w</t>
    </r>
    <r>
      <rPr>
        <sz val="9"/>
        <rFont val="Arial"/>
        <family val="0"/>
      </rPr>
      <t xml:space="preserve">).(B.L - a.b) </t>
    </r>
    <r>
      <rPr>
        <b/>
        <sz val="9"/>
        <rFont val="Arial"/>
        <family val="2"/>
      </rPr>
      <t>ou bien</t>
    </r>
    <r>
      <rPr>
        <sz val="9"/>
        <rFont val="Arial"/>
        <family val="0"/>
      </rPr>
      <t xml:space="preserve"> 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.B.L.h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.(D - h).a.b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 xml:space="preserve">.(D - h).(B.L - a.b)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</si>
</sst>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%"/>
    <numFmt numFmtId="169" formatCode="_-* #,##0.000\ _€_-;\-* #,##0.000\ _€_-;_-* &quot;-&quot;??\ _€_-;_-@_-"/>
    <numFmt numFmtId="170" formatCode="&quot;Vrai&quot;;&quot;Vrai&quot;;&quot;Faux&quot;"/>
    <numFmt numFmtId="171" formatCode="&quot;Actif&quot;;&quot;Actif&quot;;&quot;Inactif&quot;"/>
    <numFmt numFmtId="172" formatCode="0.0000000"/>
    <numFmt numFmtId="173" formatCode="0.000000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name val="Symbol"/>
      <family val="1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Symbol"/>
      <family val="1"/>
    </font>
    <font>
      <vertAlign val="superscript"/>
      <sz val="9"/>
      <name val="Symbol"/>
      <family val="1"/>
    </font>
    <font>
      <sz val="9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67" fontId="4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12" xfId="0" applyFont="1" applyFill="1" applyBorder="1" applyAlignment="1" applyProtection="1">
      <alignment horizontal="center"/>
      <protection locked="0"/>
    </xf>
    <xf numFmtId="2" fontId="4" fillId="33" borderId="10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1" fillId="0" borderId="0" xfId="0" applyNumberFormat="1" applyFont="1" applyAlignment="1" quotePrefix="1">
      <alignment horizontal="center"/>
    </xf>
    <xf numFmtId="0" fontId="4" fillId="34" borderId="14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horizontal="center"/>
      <protection locked="0"/>
    </xf>
    <xf numFmtId="0" fontId="4" fillId="34" borderId="1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4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33" borderId="13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167" fontId="3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6" fontId="4" fillId="35" borderId="12" xfId="47" applyNumberFormat="1" applyFont="1" applyFill="1" applyBorder="1" applyAlignment="1">
      <alignment horizontal="center"/>
    </xf>
    <xf numFmtId="167" fontId="4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6.7109375" style="4" customWidth="1"/>
    <col min="2" max="2" width="7.57421875" style="2" customWidth="1"/>
    <col min="3" max="3" width="5.7109375" style="3" bestFit="1" customWidth="1"/>
    <col min="4" max="4" width="11.421875" style="3" customWidth="1"/>
    <col min="5" max="5" width="13.8515625" style="4" customWidth="1"/>
    <col min="6" max="6" width="10.00390625" style="4" customWidth="1"/>
    <col min="7" max="7" width="4.57421875" style="4" customWidth="1"/>
    <col min="8" max="8" width="6.57421875" style="5" customWidth="1"/>
    <col min="9" max="9" width="6.57421875" style="2" customWidth="1"/>
    <col min="10" max="10" width="4.7109375" style="3" customWidth="1"/>
    <col min="11" max="12" width="11.421875" style="4" customWidth="1"/>
    <col min="13" max="13" width="11.421875" style="3" customWidth="1"/>
    <col min="14" max="14" width="9.140625" style="4" customWidth="1"/>
    <col min="15" max="16384" width="11.421875" style="4" customWidth="1"/>
  </cols>
  <sheetData>
    <row r="1" spans="1:12" ht="12.75">
      <c r="A1" s="1" t="s">
        <v>68</v>
      </c>
      <c r="L1" s="13"/>
    </row>
    <row r="2" spans="1:12" ht="12">
      <c r="A2" s="7" t="s">
        <v>136</v>
      </c>
      <c r="L2" s="18"/>
    </row>
    <row r="3" ht="12.75" thickBot="1">
      <c r="L3" s="13"/>
    </row>
    <row r="4" spans="1:12" ht="12.75" thickTop="1">
      <c r="A4" s="5" t="s">
        <v>0</v>
      </c>
      <c r="B4" s="19">
        <v>2</v>
      </c>
      <c r="C4" s="3" t="s">
        <v>5</v>
      </c>
      <c r="D4" s="3" t="s">
        <v>6</v>
      </c>
      <c r="L4" s="13"/>
    </row>
    <row r="5" spans="1:12" ht="12">
      <c r="A5" s="5" t="s">
        <v>1</v>
      </c>
      <c r="B5" s="20">
        <v>2</v>
      </c>
      <c r="C5" s="3" t="s">
        <v>5</v>
      </c>
      <c r="D5" s="3" t="s">
        <v>7</v>
      </c>
      <c r="L5" s="13"/>
    </row>
    <row r="6" spans="1:12" ht="12">
      <c r="A6" s="5" t="s">
        <v>25</v>
      </c>
      <c r="B6" s="20">
        <v>0.5</v>
      </c>
      <c r="C6" s="3" t="s">
        <v>5</v>
      </c>
      <c r="D6" s="3" t="s">
        <v>8</v>
      </c>
      <c r="L6" s="13"/>
    </row>
    <row r="7" spans="1:4" ht="12">
      <c r="A7" s="5" t="s">
        <v>3</v>
      </c>
      <c r="B7" s="20">
        <v>1.5</v>
      </c>
      <c r="C7" s="3" t="s">
        <v>5</v>
      </c>
      <c r="D7" s="3" t="s">
        <v>4</v>
      </c>
    </row>
    <row r="8" spans="1:4" ht="14.25">
      <c r="A8" s="6" t="s">
        <v>128</v>
      </c>
      <c r="B8" s="20">
        <v>25</v>
      </c>
      <c r="C8" s="3" t="s">
        <v>39</v>
      </c>
      <c r="D8" s="3" t="s">
        <v>9</v>
      </c>
    </row>
    <row r="9" spans="1:4" ht="12">
      <c r="A9" s="6" t="s">
        <v>15</v>
      </c>
      <c r="B9" s="20">
        <v>0</v>
      </c>
      <c r="C9" s="3" t="s">
        <v>12</v>
      </c>
      <c r="D9" s="3" t="s">
        <v>89</v>
      </c>
    </row>
    <row r="10" spans="1:15" ht="13.5">
      <c r="A10" s="22" t="s">
        <v>15</v>
      </c>
      <c r="B10" s="20">
        <v>0.3</v>
      </c>
      <c r="C10" s="3" t="s">
        <v>5</v>
      </c>
      <c r="D10" s="3" t="s">
        <v>84</v>
      </c>
      <c r="G10" s="6" t="s">
        <v>110</v>
      </c>
      <c r="H10" s="14">
        <v>1.4</v>
      </c>
      <c r="I10" s="29" t="s">
        <v>69</v>
      </c>
      <c r="J10" s="29"/>
      <c r="K10" s="29"/>
      <c r="O10"/>
    </row>
    <row r="11" spans="1:13" ht="14.25" thickBot="1">
      <c r="A11" s="22" t="s">
        <v>83</v>
      </c>
      <c r="B11" s="21">
        <v>0.5</v>
      </c>
      <c r="C11" s="3" t="s">
        <v>5</v>
      </c>
      <c r="D11" s="3" t="s">
        <v>85</v>
      </c>
      <c r="G11" s="6" t="s">
        <v>111</v>
      </c>
      <c r="H11" s="14">
        <v>2</v>
      </c>
      <c r="I11" s="30" t="s">
        <v>100</v>
      </c>
      <c r="J11" s="29" t="s">
        <v>123</v>
      </c>
      <c r="K11" s="29"/>
      <c r="L11"/>
      <c r="M11" s="2"/>
    </row>
    <row r="12" spans="1:13" ht="14.25" thickTop="1">
      <c r="A12" s="5"/>
      <c r="G12" s="6" t="s">
        <v>111</v>
      </c>
      <c r="H12" s="14">
        <v>1.2</v>
      </c>
      <c r="I12" s="30" t="s">
        <v>100</v>
      </c>
      <c r="J12" s="30" t="s">
        <v>99</v>
      </c>
      <c r="K12" s="29"/>
      <c r="L12"/>
      <c r="M12" s="2"/>
    </row>
    <row r="13" ht="12.75" thickBot="1">
      <c r="A13" s="7" t="s">
        <v>13</v>
      </c>
    </row>
    <row r="14" spans="1:4" ht="14.25" thickTop="1">
      <c r="A14" s="5" t="s">
        <v>70</v>
      </c>
      <c r="B14" s="19">
        <v>400</v>
      </c>
      <c r="C14" s="3" t="s">
        <v>10</v>
      </c>
      <c r="D14" s="3" t="s">
        <v>72</v>
      </c>
    </row>
    <row r="15" spans="1:4" ht="13.5">
      <c r="A15" s="5" t="s">
        <v>71</v>
      </c>
      <c r="B15" s="20">
        <v>110</v>
      </c>
      <c r="C15" s="3" t="s">
        <v>10</v>
      </c>
      <c r="D15" s="3" t="s">
        <v>73</v>
      </c>
    </row>
    <row r="16" spans="1:11" ht="13.5">
      <c r="A16" s="5" t="s">
        <v>26</v>
      </c>
      <c r="B16" s="20">
        <v>0</v>
      </c>
      <c r="C16" s="3" t="s">
        <v>75</v>
      </c>
      <c r="D16" s="3" t="s">
        <v>74</v>
      </c>
      <c r="H16" s="4"/>
      <c r="I16" s="7" t="s">
        <v>66</v>
      </c>
      <c r="J16" s="2"/>
      <c r="K16" s="3"/>
    </row>
    <row r="17" spans="1:11" ht="13.5">
      <c r="A17" s="5" t="s">
        <v>40</v>
      </c>
      <c r="B17" s="20">
        <v>0</v>
      </c>
      <c r="C17" s="3" t="s">
        <v>10</v>
      </c>
      <c r="D17" s="3" t="s">
        <v>28</v>
      </c>
      <c r="H17" s="5" t="s">
        <v>21</v>
      </c>
      <c r="I17" s="8">
        <f>B4*(1-2*I21/B4)</f>
        <v>2</v>
      </c>
      <c r="J17" s="3" t="s">
        <v>5</v>
      </c>
      <c r="K17" s="4" t="s">
        <v>97</v>
      </c>
    </row>
    <row r="18" spans="1:11" ht="13.5">
      <c r="A18" s="5" t="s">
        <v>41</v>
      </c>
      <c r="B18" s="20">
        <v>0</v>
      </c>
      <c r="C18" s="3" t="s">
        <v>10</v>
      </c>
      <c r="D18" s="3" t="s">
        <v>129</v>
      </c>
      <c r="H18" s="5" t="s">
        <v>22</v>
      </c>
      <c r="I18" s="9">
        <f>B5*(1-2*I22/B5)</f>
        <v>2</v>
      </c>
      <c r="J18" s="3" t="s">
        <v>5</v>
      </c>
      <c r="K18" s="4" t="s">
        <v>98</v>
      </c>
    </row>
    <row r="19" spans="1:11" ht="14.25">
      <c r="A19" s="5" t="s">
        <v>43</v>
      </c>
      <c r="B19" s="20">
        <v>0</v>
      </c>
      <c r="C19" s="3" t="s">
        <v>16</v>
      </c>
      <c r="D19" s="3" t="s">
        <v>17</v>
      </c>
      <c r="H19" s="5" t="s">
        <v>24</v>
      </c>
      <c r="I19" s="9">
        <f>B4*B5</f>
        <v>4</v>
      </c>
      <c r="J19" s="3" t="s">
        <v>42</v>
      </c>
      <c r="K19" s="4" t="s">
        <v>94</v>
      </c>
    </row>
    <row r="20" spans="1:11" ht="14.25">
      <c r="A20" s="5" t="s">
        <v>44</v>
      </c>
      <c r="B20" s="20">
        <v>0</v>
      </c>
      <c r="C20" s="3" t="s">
        <v>16</v>
      </c>
      <c r="D20" s="3" t="s">
        <v>18</v>
      </c>
      <c r="H20" s="5" t="s">
        <v>23</v>
      </c>
      <c r="I20" s="9">
        <f>I17*I18</f>
        <v>4</v>
      </c>
      <c r="J20" s="3" t="s">
        <v>42</v>
      </c>
      <c r="K20" s="29" t="s">
        <v>95</v>
      </c>
    </row>
    <row r="21" spans="1:13" ht="13.5">
      <c r="A21" s="6" t="s">
        <v>45</v>
      </c>
      <c r="B21" s="20">
        <v>1.35</v>
      </c>
      <c r="D21" s="3" t="s">
        <v>32</v>
      </c>
      <c r="H21" s="5" t="s">
        <v>47</v>
      </c>
      <c r="I21" s="9">
        <f>B19/B4</f>
        <v>0</v>
      </c>
      <c r="J21" s="3" t="s">
        <v>5</v>
      </c>
      <c r="K21" s="4" t="s">
        <v>19</v>
      </c>
      <c r="M21" s="4"/>
    </row>
    <row r="22" spans="1:11" ht="14.25" thickBot="1">
      <c r="A22" s="6" t="s">
        <v>46</v>
      </c>
      <c r="B22" s="21">
        <v>1.5</v>
      </c>
      <c r="D22" s="3" t="s">
        <v>33</v>
      </c>
      <c r="H22" s="5" t="s">
        <v>48</v>
      </c>
      <c r="I22" s="9">
        <f>B20/B5</f>
        <v>0</v>
      </c>
      <c r="J22" s="3" t="s">
        <v>5</v>
      </c>
      <c r="K22" s="4" t="s">
        <v>20</v>
      </c>
    </row>
    <row r="23" spans="1:10" ht="12.75" thickTop="1">
      <c r="A23" s="5"/>
      <c r="H23" s="6" t="s">
        <v>96</v>
      </c>
      <c r="I23" s="9">
        <f>B30*PI()/180</f>
        <v>0.4363323129985824</v>
      </c>
      <c r="J23" s="3" t="s">
        <v>29</v>
      </c>
    </row>
    <row r="24" spans="1:10" ht="12.75" thickBot="1">
      <c r="A24" s="7" t="s">
        <v>14</v>
      </c>
      <c r="H24" s="6" t="s">
        <v>15</v>
      </c>
      <c r="I24" s="9">
        <f>B9*PI()/180</f>
        <v>0</v>
      </c>
      <c r="J24" s="3" t="s">
        <v>29</v>
      </c>
    </row>
    <row r="25" spans="1:10" ht="15" thickTop="1">
      <c r="A25" s="6" t="s">
        <v>78</v>
      </c>
      <c r="B25" s="19">
        <v>20</v>
      </c>
      <c r="C25" s="3" t="s">
        <v>39</v>
      </c>
      <c r="D25" s="3" t="s">
        <v>79</v>
      </c>
      <c r="H25" s="6" t="s">
        <v>26</v>
      </c>
      <c r="I25" s="9">
        <f>ATAN(I26)</f>
        <v>0</v>
      </c>
      <c r="J25" s="3" t="s">
        <v>29</v>
      </c>
    </row>
    <row r="26" spans="1:9" ht="14.25">
      <c r="A26" s="6" t="s">
        <v>81</v>
      </c>
      <c r="B26" s="20">
        <v>22</v>
      </c>
      <c r="C26" s="3" t="s">
        <v>39</v>
      </c>
      <c r="D26" s="3" t="s">
        <v>80</v>
      </c>
      <c r="H26" s="5" t="s">
        <v>51</v>
      </c>
      <c r="I26" s="9">
        <f>IF(B18=0,0,B17/B18)</f>
        <v>0</v>
      </c>
    </row>
    <row r="27" spans="1:11" ht="14.25">
      <c r="A27" s="6" t="s">
        <v>87</v>
      </c>
      <c r="B27" s="20">
        <v>10</v>
      </c>
      <c r="C27" s="3" t="s">
        <v>39</v>
      </c>
      <c r="D27" s="3" t="s">
        <v>90</v>
      </c>
      <c r="H27" s="5" t="s">
        <v>2</v>
      </c>
      <c r="I27" s="9">
        <f>SQRT(B17^2+B18^2)</f>
        <v>0</v>
      </c>
      <c r="J27" s="3" t="s">
        <v>10</v>
      </c>
      <c r="K27" s="11" t="s">
        <v>141</v>
      </c>
    </row>
    <row r="28" spans="1:10" ht="13.5">
      <c r="A28" s="5" t="s">
        <v>50</v>
      </c>
      <c r="B28" s="20">
        <v>60</v>
      </c>
      <c r="C28" s="3" t="s">
        <v>11</v>
      </c>
      <c r="D28" s="3" t="s">
        <v>67</v>
      </c>
      <c r="H28" s="5" t="s">
        <v>30</v>
      </c>
      <c r="I28" s="16">
        <f>B39</f>
        <v>886.71</v>
      </c>
      <c r="J28" s="3" t="s">
        <v>10</v>
      </c>
    </row>
    <row r="29" spans="1:4" ht="12">
      <c r="A29" s="5" t="s">
        <v>31</v>
      </c>
      <c r="B29" s="20">
        <v>10</v>
      </c>
      <c r="C29" s="3" t="s">
        <v>11</v>
      </c>
      <c r="D29" s="3" t="s">
        <v>91</v>
      </c>
    </row>
    <row r="30" spans="1:4" ht="13.5">
      <c r="A30" s="6" t="s">
        <v>49</v>
      </c>
      <c r="B30" s="20">
        <v>25</v>
      </c>
      <c r="C30" s="3" t="s">
        <v>12</v>
      </c>
      <c r="D30" s="3" t="s">
        <v>92</v>
      </c>
    </row>
    <row r="31" spans="1:4" ht="14.25" thickBot="1">
      <c r="A31" s="22" t="s">
        <v>88</v>
      </c>
      <c r="B31" s="21">
        <v>1</v>
      </c>
      <c r="C31" s="3" t="s">
        <v>5</v>
      </c>
      <c r="D31" s="31" t="s">
        <v>127</v>
      </c>
    </row>
    <row r="32" ht="12.75" thickTop="1"/>
    <row r="33" spans="1:4" ht="12">
      <c r="A33" s="7" t="s">
        <v>27</v>
      </c>
      <c r="D33" s="4"/>
    </row>
    <row r="34" spans="1:18" ht="12">
      <c r="A34" s="7" t="s">
        <v>130</v>
      </c>
      <c r="D34" s="4"/>
      <c r="R34" s="3"/>
    </row>
    <row r="35" spans="1:18" ht="13.5">
      <c r="A35" s="5" t="s">
        <v>76</v>
      </c>
      <c r="B35" s="15">
        <f>IF(B31&gt;B6,B8*B4*B5*B6+B8*B10*B11*(B7-B6)+B26*(B4*B5-B10*B11)*(B31-B6)+B25*(B4*B5-B10*B11)*(B7-B31),E49B8*B4*B5*B6+B8*B10*B11*(B7-B6)+B25*(B4*B5-B10*B11)*(B7-B6))</f>
        <v>134.6</v>
      </c>
      <c r="C35" s="3" t="s">
        <v>10</v>
      </c>
      <c r="D35" s="10" t="s">
        <v>150</v>
      </c>
      <c r="R35" s="3"/>
    </row>
    <row r="36" spans="1:18" ht="13.5">
      <c r="A36" s="5" t="s">
        <v>77</v>
      </c>
      <c r="B36" s="23">
        <f>B16*(B4*B5-B10*B11)</f>
        <v>0</v>
      </c>
      <c r="C36" s="3" t="s">
        <v>10</v>
      </c>
      <c r="D36" s="10" t="s">
        <v>82</v>
      </c>
      <c r="R36" s="3"/>
    </row>
    <row r="37" spans="1:18" ht="13.5">
      <c r="A37" s="5" t="s">
        <v>138</v>
      </c>
      <c r="B37" s="23">
        <f>IF(B31=-1,B25*B7,B26*B31+B25*(B7-B31))</f>
        <v>32</v>
      </c>
      <c r="C37" s="3" t="s">
        <v>11</v>
      </c>
      <c r="D37" s="10" t="s">
        <v>148</v>
      </c>
      <c r="H37" s="25"/>
      <c r="R37" s="3"/>
    </row>
    <row r="38" spans="1:18" ht="13.5">
      <c r="A38" s="5" t="s">
        <v>101</v>
      </c>
      <c r="B38" s="23">
        <f>B37*I19</f>
        <v>128</v>
      </c>
      <c r="C38" s="3" t="s">
        <v>10</v>
      </c>
      <c r="D38" s="3" t="s">
        <v>149</v>
      </c>
      <c r="R38" s="3"/>
    </row>
    <row r="39" spans="1:4" ht="13.5">
      <c r="A39" s="5" t="s">
        <v>107</v>
      </c>
      <c r="B39" s="23">
        <f>B21*(B14+B35)+B22*(B15+B36)</f>
        <v>886.71</v>
      </c>
      <c r="C39" s="3" t="s">
        <v>10</v>
      </c>
      <c r="D39" s="10" t="s">
        <v>86</v>
      </c>
    </row>
    <row r="40" spans="1:4" ht="13.5">
      <c r="A40" s="5" t="s">
        <v>106</v>
      </c>
      <c r="B40" s="27">
        <f>B39-B38</f>
        <v>758.71</v>
      </c>
      <c r="C40" s="3" t="s">
        <v>10</v>
      </c>
      <c r="D40" s="10"/>
    </row>
    <row r="41" spans="1:6" ht="13.5">
      <c r="A41" s="5" t="s">
        <v>52</v>
      </c>
      <c r="B41" s="9">
        <f>1-2*B9*PI()/180/(PI()+2)</f>
        <v>1</v>
      </c>
      <c r="D41" s="4" t="s">
        <v>102</v>
      </c>
      <c r="F41" s="3"/>
    </row>
    <row r="42" spans="1:6" ht="13.5">
      <c r="A42" s="5" t="s">
        <v>53</v>
      </c>
      <c r="B42" s="9">
        <f>1+0.2*I17/I18</f>
        <v>1.2</v>
      </c>
      <c r="D42" s="4" t="s">
        <v>103</v>
      </c>
      <c r="F42" s="3"/>
    </row>
    <row r="43" spans="1:13" ht="14.25">
      <c r="A43" s="5" t="s">
        <v>54</v>
      </c>
      <c r="B43" s="9">
        <f>0.5*(1+SQRT(1-B17/I20/B28))</f>
        <v>1</v>
      </c>
      <c r="D43" s="4" t="s">
        <v>104</v>
      </c>
      <c r="L43"/>
      <c r="M43"/>
    </row>
    <row r="44" spans="1:13" ht="13.5">
      <c r="A44" s="5" t="s">
        <v>105</v>
      </c>
      <c r="B44" s="9">
        <f>(PI()+2)*B28*B41*B42*B43</f>
        <v>370.1946710584651</v>
      </c>
      <c r="C44" s="3" t="s">
        <v>11</v>
      </c>
      <c r="D44" s="4" t="s">
        <v>126</v>
      </c>
      <c r="F44" s="3"/>
      <c r="L44"/>
      <c r="M44"/>
    </row>
    <row r="45" spans="1:6" ht="13.5">
      <c r="A45" s="5" t="s">
        <v>108</v>
      </c>
      <c r="B45" s="26">
        <f>B44/H10/H12*I20</f>
        <v>881.415883472536</v>
      </c>
      <c r="C45" s="3" t="s">
        <v>10</v>
      </c>
      <c r="D45" s="4" t="s">
        <v>109</v>
      </c>
      <c r="F45" s="3"/>
    </row>
    <row r="46" spans="2:6" ht="12">
      <c r="B46" s="24" t="str">
        <f>IF(B31=-1,"CAS A NE PAS CONSIDERER",IF(B40&lt;B45,"OK","KO"))</f>
        <v>OK</v>
      </c>
      <c r="F46" s="3"/>
    </row>
    <row r="47" spans="2:11" ht="12">
      <c r="B47" s="24"/>
      <c r="F47" s="3"/>
      <c r="I47" s="7"/>
      <c r="J47" s="2"/>
      <c r="K47" s="3"/>
    </row>
    <row r="48" spans="1:4" ht="12">
      <c r="A48" s="7" t="s">
        <v>147</v>
      </c>
      <c r="D48" s="4"/>
    </row>
    <row r="49" spans="1:4" ht="13.5">
      <c r="A49" s="5" t="s">
        <v>76</v>
      </c>
      <c r="B49" s="15">
        <f>IF(B31&gt;B6,B8*B4*B5*B6+B8*B10*B11*(B7-B6)+B26*(B4*B5-B10*B11)*(B31-B6)+B25*(B4*B5-B10*B11)*(B7-B31),B8*B4*B5*B6+B8*B10*B11*(B7-B6)+B25*(B4*B5-B10*B11)*(B7-B6))</f>
        <v>134.6</v>
      </c>
      <c r="C49" s="3" t="s">
        <v>10</v>
      </c>
      <c r="D49" s="10" t="s">
        <v>150</v>
      </c>
    </row>
    <row r="50" spans="1:4" ht="13.5">
      <c r="A50" s="5" t="s">
        <v>77</v>
      </c>
      <c r="B50" s="23">
        <f>B16*(B4*B5-B10*B11)</f>
        <v>0</v>
      </c>
      <c r="C50" s="3" t="s">
        <v>10</v>
      </c>
      <c r="D50" s="10" t="s">
        <v>82</v>
      </c>
    </row>
    <row r="51" spans="1:4" ht="13.5">
      <c r="A51" s="5" t="s">
        <v>138</v>
      </c>
      <c r="B51" s="23">
        <f>IF(B31=-1,B25*B7,B26*B31+B25*(B7-B31))</f>
        <v>32</v>
      </c>
      <c r="C51" s="3" t="s">
        <v>11</v>
      </c>
      <c r="D51" s="10" t="s">
        <v>146</v>
      </c>
    </row>
    <row r="52" spans="1:12" ht="13.5">
      <c r="A52" s="5" t="s">
        <v>101</v>
      </c>
      <c r="B52" s="23">
        <f>B51*B4*B5</f>
        <v>128</v>
      </c>
      <c r="C52" s="3" t="s">
        <v>10</v>
      </c>
      <c r="D52" s="10" t="s">
        <v>145</v>
      </c>
      <c r="H52"/>
      <c r="I52"/>
      <c r="J52"/>
      <c r="K52"/>
      <c r="L52"/>
    </row>
    <row r="53" spans="1:14" ht="13.5">
      <c r="A53" s="5" t="s">
        <v>107</v>
      </c>
      <c r="B53" s="23">
        <f>B21*(B14+B49)+B22*(B15+B50)</f>
        <v>886.71</v>
      </c>
      <c r="C53" s="3" t="s">
        <v>10</v>
      </c>
      <c r="D53" s="10" t="s">
        <v>86</v>
      </c>
      <c r="N53" s="3"/>
    </row>
    <row r="54" spans="1:14" ht="13.5">
      <c r="A54" s="5" t="s">
        <v>106</v>
      </c>
      <c r="B54" s="27">
        <f>B53-B52</f>
        <v>758.71</v>
      </c>
      <c r="C54" s="3" t="s">
        <v>10</v>
      </c>
      <c r="D54" s="10"/>
      <c r="N54" s="3"/>
    </row>
    <row r="55" spans="1:12" ht="14.25">
      <c r="A55" s="5" t="s">
        <v>52</v>
      </c>
      <c r="B55" s="9">
        <f>1-2*B17*PI()/180/(PI()+2)</f>
        <v>1</v>
      </c>
      <c r="D55" s="4" t="s">
        <v>112</v>
      </c>
      <c r="K55" s="7" t="s">
        <v>122</v>
      </c>
      <c r="L55" s="3"/>
    </row>
    <row r="56" spans="1:12" ht="14.25">
      <c r="A56" s="5" t="s">
        <v>55</v>
      </c>
      <c r="B56" s="9">
        <f>EXP(PI()*TAN(I23))*(TAN(PI()/4+I23/2))^2</f>
        <v>10.66214238849845</v>
      </c>
      <c r="D56" s="4" t="s">
        <v>134</v>
      </c>
      <c r="K56" s="32">
        <f>(B39-B38)/B45</f>
        <v>0.8607854864276911</v>
      </c>
      <c r="L56" s="3" t="s">
        <v>124</v>
      </c>
    </row>
    <row r="57" spans="1:12" ht="13.5">
      <c r="A57" s="5" t="s">
        <v>56</v>
      </c>
      <c r="B57" s="9">
        <f>(B56-1)/TAN(I23)</f>
        <v>20.720531219083686</v>
      </c>
      <c r="D57" s="4" t="s">
        <v>113</v>
      </c>
      <c r="K57" s="32">
        <f>(B53-B52)/B73</f>
        <v>0.7788123207125807</v>
      </c>
      <c r="L57" s="3" t="s">
        <v>125</v>
      </c>
    </row>
    <row r="58" spans="1:12" ht="13.5">
      <c r="A58" s="5" t="s">
        <v>57</v>
      </c>
      <c r="B58" s="9">
        <f>2*(B56-1)*TAN(I23)</f>
        <v>9.011061979881713</v>
      </c>
      <c r="D58" s="4" t="s">
        <v>114</v>
      </c>
      <c r="K58" s="17" t="str">
        <f>IF(K56&lt;1,IF(K57&lt;1,"&lt; 1","&gt; 1"),"&gt; 1")</f>
        <v>&lt; 1</v>
      </c>
      <c r="L58" s="7" t="str">
        <f>IF(K56&lt;1,IF(K57&lt;1,"OK","KO"),"KO")</f>
        <v>OK</v>
      </c>
    </row>
    <row r="59" spans="1:4" ht="13.5">
      <c r="A59" s="5" t="s">
        <v>58</v>
      </c>
      <c r="B59" s="9">
        <f>1+I17/I18*SIN(I23)</f>
        <v>1.4226182617406995</v>
      </c>
      <c r="D59" s="4" t="s">
        <v>133</v>
      </c>
    </row>
    <row r="60" spans="1:4" ht="13.5">
      <c r="A60" s="5" t="s">
        <v>53</v>
      </c>
      <c r="B60" s="9">
        <f>(B59*B56-1)/(B56-1)</f>
        <v>1.4663578636579484</v>
      </c>
      <c r="D60" s="4" t="s">
        <v>115</v>
      </c>
    </row>
    <row r="61" spans="1:4" ht="13.5">
      <c r="A61" s="5" t="s">
        <v>59</v>
      </c>
      <c r="B61" s="9">
        <f>1-0.3*I17/I18</f>
        <v>0.7</v>
      </c>
      <c r="D61" s="4" t="s">
        <v>93</v>
      </c>
    </row>
    <row r="62" spans="1:4" ht="14.25">
      <c r="A62" s="5" t="s">
        <v>60</v>
      </c>
      <c r="B62" s="9">
        <f>(1-I24*TAN(I23))^2</f>
        <v>1</v>
      </c>
      <c r="D62" s="4" t="s">
        <v>112</v>
      </c>
    </row>
    <row r="63" spans="1:4" ht="13.5">
      <c r="A63" s="5" t="s">
        <v>52</v>
      </c>
      <c r="B63" s="9">
        <f>B62-(1-B62)*TAN(I23)/B57</f>
        <v>1</v>
      </c>
      <c r="D63" s="4" t="s">
        <v>93</v>
      </c>
    </row>
    <row r="64" spans="1:4" ht="14.25">
      <c r="A64" s="5" t="s">
        <v>61</v>
      </c>
      <c r="B64" s="9">
        <f>B62</f>
        <v>1</v>
      </c>
      <c r="D64" s="4" t="s">
        <v>112</v>
      </c>
    </row>
    <row r="65" spans="1:15" ht="13.5">
      <c r="A65" s="5" t="s">
        <v>62</v>
      </c>
      <c r="B65" s="9">
        <f>(2+I17/I18)/(1+I17/I18)</f>
        <v>1.5</v>
      </c>
      <c r="D65" s="4" t="s">
        <v>116</v>
      </c>
      <c r="M65" s="5"/>
      <c r="N65" s="2"/>
      <c r="O65" s="3"/>
    </row>
    <row r="66" spans="1:4" ht="13.5">
      <c r="A66" s="5" t="s">
        <v>63</v>
      </c>
      <c r="B66" s="9">
        <f>(2+I18/I17)/(1+I18/I17)</f>
        <v>1.5</v>
      </c>
      <c r="D66" s="4" t="s">
        <v>117</v>
      </c>
    </row>
    <row r="67" spans="1:4" ht="14.25">
      <c r="A67" s="5" t="s">
        <v>5</v>
      </c>
      <c r="B67" s="9">
        <f>B66*COS(I25)^2+B65*SIN(I25)^2</f>
        <v>1.5</v>
      </c>
      <c r="D67" s="4" t="s">
        <v>118</v>
      </c>
    </row>
    <row r="68" spans="1:8" ht="14.25">
      <c r="A68" s="5" t="s">
        <v>64</v>
      </c>
      <c r="B68" s="9">
        <f>(1-I27/(B39+I20*B29/TAN(I23)))^B67</f>
        <v>1</v>
      </c>
      <c r="D68" s="4" t="s">
        <v>132</v>
      </c>
      <c r="H68" s="2"/>
    </row>
    <row r="69" spans="1:4" ht="13.5">
      <c r="A69" s="5" t="s">
        <v>54</v>
      </c>
      <c r="B69" s="9">
        <f>B68-(1-B68)*TAN(I23)/B57</f>
        <v>1</v>
      </c>
      <c r="D69" s="4" t="s">
        <v>119</v>
      </c>
    </row>
    <row r="70" spans="1:4" ht="14.25">
      <c r="A70" s="5" t="s">
        <v>65</v>
      </c>
      <c r="B70" s="9">
        <f>(1-I27/(B39+I20*B29/TAN(I23)))^(B67+1)</f>
        <v>1</v>
      </c>
      <c r="D70" s="4" t="s">
        <v>135</v>
      </c>
    </row>
    <row r="71" spans="1:4" ht="13.5">
      <c r="A71" s="5" t="s">
        <v>121</v>
      </c>
      <c r="B71" s="9">
        <f>IF(B31=-1,B25*B7,(B26-B27)*B31+B25*(B7-B31))</f>
        <v>22</v>
      </c>
      <c r="C71" s="3" t="s">
        <v>11</v>
      </c>
      <c r="D71" s="3" t="s">
        <v>142</v>
      </c>
    </row>
    <row r="72" spans="1:4" ht="13.5">
      <c r="A72" s="5" t="s">
        <v>105</v>
      </c>
      <c r="B72" s="12">
        <f>IF(B31=-1,B29*B57*B63*B60*B69+B71*(B56-1)*B62*B59*B68+0.5*B25*I17*B58*B64*B61*B70,B29*B57*B63*B60*B69+B71*(B56-1)*B62*B59*B68+0.5*(B26-B27)*I17*B58*B64*B61*B70)</f>
        <v>681.9319441609097</v>
      </c>
      <c r="C72" s="3" t="s">
        <v>11</v>
      </c>
      <c r="D72" s="4" t="s">
        <v>120</v>
      </c>
    </row>
    <row r="73" spans="1:4" ht="13.5">
      <c r="A73" s="5" t="s">
        <v>108</v>
      </c>
      <c r="B73" s="28">
        <f>B72*I20/H10/H11</f>
        <v>974.1884916584424</v>
      </c>
      <c r="C73" s="3" t="s">
        <v>10</v>
      </c>
      <c r="D73" s="4" t="s">
        <v>109</v>
      </c>
    </row>
    <row r="74" ht="12">
      <c r="B74" s="24" t="str">
        <f>IF(B73&lt;B54,"KO","OK")</f>
        <v>OK</v>
      </c>
    </row>
  </sheetData>
  <sheetProtection selectLockedCells="1" pivotTables="0"/>
  <conditionalFormatting sqref="B46">
    <cfRule type="cellIs" priority="1" dxfId="0" operator="equal" stopIfTrue="1">
      <formula>"KO"</formula>
    </cfRule>
    <cfRule type="cellIs" priority="2" dxfId="0" operator="equal" stopIfTrue="1">
      <formula>"CAS A NE PAS CONSIDERER"</formula>
    </cfRule>
  </conditionalFormatting>
  <conditionalFormatting sqref="L58 B74 B47">
    <cfRule type="cellIs" priority="3" dxfId="0" operator="equal" stopIfTrue="1">
      <formula>"KO"</formula>
    </cfRule>
  </conditionalFormatting>
  <printOptions/>
  <pageMargins left="0.3937007874015748" right="0.3937007874015748" top="0.1968503937007874" bottom="0.1968503937007874" header="0" footer="0.5118110236220472"/>
  <pageSetup horizontalDpi="600" verticalDpi="600" orientation="portrait" paperSize="9" scale="80" r:id="rId4"/>
  <legacyDrawing r:id="rId3"/>
  <oleObjects>
    <oleObject progId="Designer.Drawing.7" shapeId="95512" r:id="rId1"/>
    <oleObject progId="Designer.Drawing.7" shapeId="14082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showGridLines="0" view="pageBreakPreview" zoomScaleSheetLayoutView="100" zoomScalePageLayoutView="0" workbookViewId="0" topLeftCell="A4">
      <selection activeCell="B4" sqref="B4"/>
    </sheetView>
  </sheetViews>
  <sheetFormatPr defaultColWidth="11.421875" defaultRowHeight="12.75"/>
  <cols>
    <col min="1" max="1" width="6.7109375" style="4" customWidth="1"/>
    <col min="2" max="2" width="7.57421875" style="2" customWidth="1"/>
    <col min="3" max="3" width="5.7109375" style="3" bestFit="1" customWidth="1"/>
    <col min="4" max="4" width="11.421875" style="3" customWidth="1"/>
    <col min="5" max="5" width="13.8515625" style="4" customWidth="1"/>
    <col min="6" max="6" width="10.00390625" style="4" customWidth="1"/>
    <col min="7" max="7" width="4.57421875" style="4" customWidth="1"/>
    <col min="8" max="8" width="6.57421875" style="5" customWidth="1"/>
    <col min="9" max="9" width="6.57421875" style="2" customWidth="1"/>
    <col min="10" max="10" width="4.7109375" style="3" customWidth="1"/>
    <col min="11" max="12" width="11.421875" style="4" customWidth="1"/>
    <col min="13" max="13" width="11.421875" style="3" customWidth="1"/>
    <col min="14" max="14" width="9.140625" style="4" customWidth="1"/>
    <col min="15" max="16384" width="11.421875" style="4" customWidth="1"/>
  </cols>
  <sheetData>
    <row r="1" spans="1:12" ht="12.75">
      <c r="A1" s="1" t="s">
        <v>68</v>
      </c>
      <c r="L1" s="13" t="s">
        <v>38</v>
      </c>
    </row>
    <row r="2" spans="1:12" ht="12">
      <c r="A2" s="7" t="s">
        <v>136</v>
      </c>
      <c r="L2" s="18" t="s">
        <v>137</v>
      </c>
    </row>
    <row r="3" ht="12.75" thickBot="1">
      <c r="L3" s="13" t="s">
        <v>34</v>
      </c>
    </row>
    <row r="4" spans="1:12" ht="12.75" thickTop="1">
      <c r="A4" s="5" t="s">
        <v>0</v>
      </c>
      <c r="B4" s="19">
        <v>1.5</v>
      </c>
      <c r="C4" s="3" t="s">
        <v>5</v>
      </c>
      <c r="D4" s="3" t="s">
        <v>6</v>
      </c>
      <c r="L4" s="13" t="s">
        <v>35</v>
      </c>
    </row>
    <row r="5" spans="1:12" ht="12">
      <c r="A5" s="5" t="s">
        <v>1</v>
      </c>
      <c r="B5" s="20">
        <v>3</v>
      </c>
      <c r="C5" s="3" t="s">
        <v>5</v>
      </c>
      <c r="D5" s="3" t="s">
        <v>7</v>
      </c>
      <c r="L5" s="13" t="s">
        <v>36</v>
      </c>
    </row>
    <row r="6" spans="1:12" ht="12">
      <c r="A6" s="5" t="s">
        <v>25</v>
      </c>
      <c r="B6" s="20">
        <v>0.5</v>
      </c>
      <c r="C6" s="3" t="s">
        <v>5</v>
      </c>
      <c r="D6" s="3" t="s">
        <v>8</v>
      </c>
      <c r="L6" s="13" t="s">
        <v>37</v>
      </c>
    </row>
    <row r="7" spans="1:4" ht="12">
      <c r="A7" s="5" t="s">
        <v>3</v>
      </c>
      <c r="B7" s="20">
        <v>1.5</v>
      </c>
      <c r="C7" s="3" t="s">
        <v>5</v>
      </c>
      <c r="D7" s="3" t="s">
        <v>4</v>
      </c>
    </row>
    <row r="8" spans="1:4" ht="14.25">
      <c r="A8" s="6" t="s">
        <v>128</v>
      </c>
      <c r="B8" s="20">
        <v>25</v>
      </c>
      <c r="C8" s="3" t="s">
        <v>39</v>
      </c>
      <c r="D8" s="3" t="s">
        <v>9</v>
      </c>
    </row>
    <row r="9" spans="1:4" ht="12">
      <c r="A9" s="6" t="s">
        <v>15</v>
      </c>
      <c r="B9" s="20">
        <v>0</v>
      </c>
      <c r="C9" s="3" t="s">
        <v>12</v>
      </c>
      <c r="D9" s="3" t="s">
        <v>89</v>
      </c>
    </row>
    <row r="10" spans="1:15" ht="13.5">
      <c r="A10" s="22" t="s">
        <v>15</v>
      </c>
      <c r="B10" s="20">
        <v>0</v>
      </c>
      <c r="C10" s="3" t="s">
        <v>5</v>
      </c>
      <c r="D10" s="3" t="s">
        <v>84</v>
      </c>
      <c r="G10" s="6" t="s">
        <v>110</v>
      </c>
      <c r="H10" s="14">
        <v>1.4</v>
      </c>
      <c r="I10" s="29" t="s">
        <v>69</v>
      </c>
      <c r="J10" s="29"/>
      <c r="K10" s="29"/>
      <c r="O10"/>
    </row>
    <row r="11" spans="1:13" ht="14.25" thickBot="1">
      <c r="A11" s="22" t="s">
        <v>83</v>
      </c>
      <c r="B11" s="21">
        <v>0</v>
      </c>
      <c r="C11" s="3" t="s">
        <v>5</v>
      </c>
      <c r="D11" s="3" t="s">
        <v>85</v>
      </c>
      <c r="G11" s="6" t="s">
        <v>111</v>
      </c>
      <c r="H11" s="14">
        <v>2</v>
      </c>
      <c r="I11" s="30" t="s">
        <v>100</v>
      </c>
      <c r="J11" s="29" t="s">
        <v>123</v>
      </c>
      <c r="K11" s="29"/>
      <c r="L11"/>
      <c r="M11" s="2"/>
    </row>
    <row r="12" spans="1:13" ht="14.25" thickTop="1">
      <c r="A12" s="5"/>
      <c r="G12" s="6" t="s">
        <v>111</v>
      </c>
      <c r="H12" s="14">
        <v>1.2</v>
      </c>
      <c r="I12" s="30" t="s">
        <v>100</v>
      </c>
      <c r="J12" s="30" t="s">
        <v>99</v>
      </c>
      <c r="K12" s="29"/>
      <c r="L12"/>
      <c r="M12" s="2"/>
    </row>
    <row r="13" ht="12.75" thickBot="1">
      <c r="A13" s="7" t="s">
        <v>13</v>
      </c>
    </row>
    <row r="14" spans="1:4" ht="14.25" thickTop="1">
      <c r="A14" s="5" t="s">
        <v>70</v>
      </c>
      <c r="B14" s="19">
        <v>400</v>
      </c>
      <c r="C14" s="3" t="s">
        <v>10</v>
      </c>
      <c r="D14" s="3" t="s">
        <v>72</v>
      </c>
    </row>
    <row r="15" spans="1:4" ht="13.5">
      <c r="A15" s="5" t="s">
        <v>71</v>
      </c>
      <c r="B15" s="20">
        <v>110</v>
      </c>
      <c r="C15" s="3" t="s">
        <v>10</v>
      </c>
      <c r="D15" s="3" t="s">
        <v>73</v>
      </c>
    </row>
    <row r="16" spans="1:11" ht="13.5">
      <c r="A16" s="5" t="s">
        <v>26</v>
      </c>
      <c r="B16" s="20">
        <v>0</v>
      </c>
      <c r="C16" s="3" t="s">
        <v>75</v>
      </c>
      <c r="D16" s="3" t="s">
        <v>74</v>
      </c>
      <c r="H16" s="4"/>
      <c r="I16" s="7" t="s">
        <v>66</v>
      </c>
      <c r="J16" s="2"/>
      <c r="K16" s="3"/>
    </row>
    <row r="17" spans="1:11" ht="13.5">
      <c r="A17" s="5" t="s">
        <v>40</v>
      </c>
      <c r="B17" s="20">
        <v>0</v>
      </c>
      <c r="C17" s="3" t="s">
        <v>10</v>
      </c>
      <c r="D17" s="3" t="s">
        <v>28</v>
      </c>
      <c r="H17" s="5" t="s">
        <v>21</v>
      </c>
      <c r="I17" s="8">
        <f>B4*(1-2*I21/B4)</f>
        <v>1.5</v>
      </c>
      <c r="J17" s="3" t="s">
        <v>5</v>
      </c>
      <c r="K17" s="4" t="s">
        <v>97</v>
      </c>
    </row>
    <row r="18" spans="1:11" ht="13.5">
      <c r="A18" s="5" t="s">
        <v>41</v>
      </c>
      <c r="B18" s="20">
        <v>0</v>
      </c>
      <c r="C18" s="3" t="s">
        <v>10</v>
      </c>
      <c r="D18" s="3" t="s">
        <v>129</v>
      </c>
      <c r="H18" s="5" t="s">
        <v>22</v>
      </c>
      <c r="I18" s="9">
        <f>B5*(1-2*I22/B5)</f>
        <v>3</v>
      </c>
      <c r="J18" s="3" t="s">
        <v>5</v>
      </c>
      <c r="K18" s="4" t="s">
        <v>98</v>
      </c>
    </row>
    <row r="19" spans="1:11" ht="14.25">
      <c r="A19" s="5" t="s">
        <v>43</v>
      </c>
      <c r="B19" s="20">
        <v>0</v>
      </c>
      <c r="C19" s="3" t="s">
        <v>16</v>
      </c>
      <c r="D19" s="3" t="s">
        <v>17</v>
      </c>
      <c r="H19" s="5" t="s">
        <v>24</v>
      </c>
      <c r="I19" s="9">
        <f>B4*B5</f>
        <v>4.5</v>
      </c>
      <c r="J19" s="3" t="s">
        <v>42</v>
      </c>
      <c r="K19" s="4" t="s">
        <v>94</v>
      </c>
    </row>
    <row r="20" spans="1:11" ht="14.25">
      <c r="A20" s="5" t="s">
        <v>44</v>
      </c>
      <c r="B20" s="20">
        <v>0</v>
      </c>
      <c r="C20" s="3" t="s">
        <v>16</v>
      </c>
      <c r="D20" s="3" t="s">
        <v>18</v>
      </c>
      <c r="H20" s="5" t="s">
        <v>23</v>
      </c>
      <c r="I20" s="9">
        <f>I17*I18</f>
        <v>4.5</v>
      </c>
      <c r="J20" s="3" t="s">
        <v>42</v>
      </c>
      <c r="K20" s="29" t="s">
        <v>95</v>
      </c>
    </row>
    <row r="21" spans="1:13" ht="13.5">
      <c r="A21" s="6" t="s">
        <v>45</v>
      </c>
      <c r="B21" s="20">
        <v>1.35</v>
      </c>
      <c r="D21" s="3" t="s">
        <v>32</v>
      </c>
      <c r="H21" s="5" t="s">
        <v>47</v>
      </c>
      <c r="I21" s="9">
        <f>B19/B4</f>
        <v>0</v>
      </c>
      <c r="J21" s="3" t="s">
        <v>5</v>
      </c>
      <c r="K21" s="4" t="s">
        <v>19</v>
      </c>
      <c r="M21" s="4"/>
    </row>
    <row r="22" spans="1:11" ht="14.25" thickBot="1">
      <c r="A22" s="6" t="s">
        <v>46</v>
      </c>
      <c r="B22" s="21">
        <v>1.5</v>
      </c>
      <c r="D22" s="3" t="s">
        <v>33</v>
      </c>
      <c r="H22" s="5" t="s">
        <v>48</v>
      </c>
      <c r="I22" s="9">
        <f>B20/B5</f>
        <v>0</v>
      </c>
      <c r="J22" s="3" t="s">
        <v>5</v>
      </c>
      <c r="K22" s="4" t="s">
        <v>20</v>
      </c>
    </row>
    <row r="23" spans="1:10" ht="12.75" thickTop="1">
      <c r="A23" s="5"/>
      <c r="H23" s="6" t="s">
        <v>96</v>
      </c>
      <c r="I23" s="9">
        <f>B30*PI()/180</f>
        <v>0.4363323129985824</v>
      </c>
      <c r="J23" s="3" t="s">
        <v>29</v>
      </c>
    </row>
    <row r="24" spans="1:10" ht="12.75" thickBot="1">
      <c r="A24" s="7" t="s">
        <v>14</v>
      </c>
      <c r="H24" s="6" t="s">
        <v>15</v>
      </c>
      <c r="I24" s="9">
        <f>B9*PI()/180</f>
        <v>0</v>
      </c>
      <c r="J24" s="3" t="s">
        <v>29</v>
      </c>
    </row>
    <row r="25" spans="1:10" ht="15" thickTop="1">
      <c r="A25" s="6" t="s">
        <v>78</v>
      </c>
      <c r="B25" s="19">
        <v>20</v>
      </c>
      <c r="C25" s="3" t="s">
        <v>39</v>
      </c>
      <c r="D25" s="3" t="s">
        <v>79</v>
      </c>
      <c r="H25" s="6" t="s">
        <v>26</v>
      </c>
      <c r="I25" s="9">
        <f>ATAN(I26)</f>
        <v>0</v>
      </c>
      <c r="J25" s="3" t="s">
        <v>29</v>
      </c>
    </row>
    <row r="26" spans="1:9" ht="14.25">
      <c r="A26" s="6" t="s">
        <v>81</v>
      </c>
      <c r="B26" s="20">
        <v>20</v>
      </c>
      <c r="C26" s="3" t="s">
        <v>39</v>
      </c>
      <c r="D26" s="3" t="s">
        <v>80</v>
      </c>
      <c r="H26" s="5" t="s">
        <v>51</v>
      </c>
      <c r="I26" s="9">
        <f>IF(B18=0,0,B17/B18)</f>
        <v>0</v>
      </c>
    </row>
    <row r="27" spans="1:11" ht="14.25">
      <c r="A27" s="6" t="s">
        <v>87</v>
      </c>
      <c r="B27" s="20">
        <v>10</v>
      </c>
      <c r="C27" s="3" t="s">
        <v>39</v>
      </c>
      <c r="D27" s="3" t="s">
        <v>90</v>
      </c>
      <c r="H27" s="5" t="s">
        <v>2</v>
      </c>
      <c r="I27" s="9">
        <f>SQRT(B17^2+B18^2)</f>
        <v>0</v>
      </c>
      <c r="J27" s="3" t="s">
        <v>10</v>
      </c>
      <c r="K27" s="11" t="s">
        <v>141</v>
      </c>
    </row>
    <row r="28" spans="1:10" ht="13.5">
      <c r="A28" s="5" t="s">
        <v>50</v>
      </c>
      <c r="B28" s="20">
        <v>60</v>
      </c>
      <c r="C28" s="3" t="s">
        <v>11</v>
      </c>
      <c r="D28" s="3" t="s">
        <v>67</v>
      </c>
      <c r="H28" s="5" t="s">
        <v>30</v>
      </c>
      <c r="I28" s="16">
        <f>B39</f>
        <v>902.4375</v>
      </c>
      <c r="J28" s="3" t="s">
        <v>10</v>
      </c>
    </row>
    <row r="29" spans="1:4" ht="12">
      <c r="A29" s="5" t="s">
        <v>31</v>
      </c>
      <c r="B29" s="20">
        <v>10</v>
      </c>
      <c r="C29" s="3" t="s">
        <v>11</v>
      </c>
      <c r="D29" s="3" t="s">
        <v>91</v>
      </c>
    </row>
    <row r="30" spans="1:4" ht="13.5">
      <c r="A30" s="6" t="s">
        <v>49</v>
      </c>
      <c r="B30" s="20">
        <v>25</v>
      </c>
      <c r="C30" s="3" t="s">
        <v>12</v>
      </c>
      <c r="D30" s="3" t="s">
        <v>92</v>
      </c>
    </row>
    <row r="31" spans="1:4" ht="14.25" thickBot="1">
      <c r="A31" s="22" t="s">
        <v>88</v>
      </c>
      <c r="B31" s="21">
        <v>1</v>
      </c>
      <c r="C31" s="3" t="s">
        <v>5</v>
      </c>
      <c r="D31" s="31" t="s">
        <v>127</v>
      </c>
    </row>
    <row r="32" ht="12.75" thickTop="1"/>
    <row r="33" spans="1:4" ht="12">
      <c r="A33" s="7" t="s">
        <v>27</v>
      </c>
      <c r="D33" s="4"/>
    </row>
    <row r="34" spans="1:18" ht="12">
      <c r="A34" s="7" t="s">
        <v>130</v>
      </c>
      <c r="D34" s="4"/>
      <c r="R34" s="3"/>
    </row>
    <row r="35" spans="1:18" ht="13.5">
      <c r="A35" s="5" t="s">
        <v>76</v>
      </c>
      <c r="B35" s="15">
        <f>IF(B31&gt;B6,B8*B4*B5*B6+B8*B10*B11*(B7-B6)+B26*(B4*B5-B10*B11)*(B31-B6)+B25*(B4*B5-B10*B11)*(B7-B31),B8*B4*B5*B6+B8*B10*B11*(B7-B6)+B25*(B4*B5-B10*B11)*(B7-B6))</f>
        <v>146.25</v>
      </c>
      <c r="C35" s="3" t="s">
        <v>10</v>
      </c>
      <c r="D35" s="10" t="s">
        <v>150</v>
      </c>
      <c r="R35" s="3"/>
    </row>
    <row r="36" spans="1:18" ht="13.5">
      <c r="A36" s="5" t="s">
        <v>77</v>
      </c>
      <c r="B36" s="23">
        <f>B16*(B4*B5-B10*B11)</f>
        <v>0</v>
      </c>
      <c r="C36" s="3" t="s">
        <v>10</v>
      </c>
      <c r="D36" s="10" t="s">
        <v>82</v>
      </c>
      <c r="R36" s="3"/>
    </row>
    <row r="37" spans="1:18" ht="13.5">
      <c r="A37" s="5" t="s">
        <v>138</v>
      </c>
      <c r="B37" s="23">
        <f>IF(B31=-1,B25*B7,B26*B31+B25*(B7-B31))</f>
        <v>30</v>
      </c>
      <c r="C37" s="3" t="s">
        <v>11</v>
      </c>
      <c r="D37" s="3" t="s">
        <v>139</v>
      </c>
      <c r="H37" s="25"/>
      <c r="R37" s="3"/>
    </row>
    <row r="38" spans="1:18" ht="13.5">
      <c r="A38" s="5" t="s">
        <v>101</v>
      </c>
      <c r="B38" s="23">
        <f>B37*I19</f>
        <v>135</v>
      </c>
      <c r="C38" s="3" t="s">
        <v>10</v>
      </c>
      <c r="D38" s="3" t="s">
        <v>140</v>
      </c>
      <c r="R38" s="3"/>
    </row>
    <row r="39" spans="1:4" ht="13.5">
      <c r="A39" s="5" t="s">
        <v>107</v>
      </c>
      <c r="B39" s="23">
        <f>B21*(B14+B35)+B22*(B15+B36)</f>
        <v>902.4375</v>
      </c>
      <c r="C39" s="3" t="s">
        <v>10</v>
      </c>
      <c r="D39" s="10" t="s">
        <v>86</v>
      </c>
    </row>
    <row r="40" spans="1:4" ht="13.5">
      <c r="A40" s="5" t="s">
        <v>106</v>
      </c>
      <c r="B40" s="27">
        <f>B39-B38</f>
        <v>767.4375</v>
      </c>
      <c r="C40" s="3" t="s">
        <v>10</v>
      </c>
      <c r="D40" s="10"/>
    </row>
    <row r="41" spans="1:6" ht="13.5">
      <c r="A41" s="5" t="s">
        <v>52</v>
      </c>
      <c r="B41" s="9">
        <f>1-2*B9*PI()/180/(PI()+2)</f>
        <v>1</v>
      </c>
      <c r="D41" s="4" t="s">
        <v>102</v>
      </c>
      <c r="F41" s="3"/>
    </row>
    <row r="42" spans="1:6" ht="13.5">
      <c r="A42" s="5" t="s">
        <v>53</v>
      </c>
      <c r="B42" s="9">
        <f>1+0.2*I17/I18</f>
        <v>1.1</v>
      </c>
      <c r="D42" s="4" t="s">
        <v>103</v>
      </c>
      <c r="F42" s="3"/>
    </row>
    <row r="43" spans="1:13" ht="14.25">
      <c r="A43" s="5" t="s">
        <v>54</v>
      </c>
      <c r="B43" s="9">
        <f>0.5*(1+SQRT(1-B17/I20/B28))</f>
        <v>1</v>
      </c>
      <c r="D43" s="4" t="s">
        <v>104</v>
      </c>
      <c r="L43"/>
      <c r="M43"/>
    </row>
    <row r="44" spans="1:13" ht="13.5">
      <c r="A44" s="5" t="s">
        <v>105</v>
      </c>
      <c r="B44" s="9">
        <f>(PI()+2)*B28*B41*B42*B43</f>
        <v>339.3451151369264</v>
      </c>
      <c r="C44" s="3" t="s">
        <v>11</v>
      </c>
      <c r="D44" s="4" t="s">
        <v>126</v>
      </c>
      <c r="F44" s="3"/>
      <c r="L44"/>
      <c r="M44"/>
    </row>
    <row r="45" spans="1:6" ht="13.5">
      <c r="A45" s="5" t="s">
        <v>108</v>
      </c>
      <c r="B45" s="26">
        <f>B44/H10/H12*I20</f>
        <v>908.9601298310529</v>
      </c>
      <c r="C45" s="3" t="s">
        <v>10</v>
      </c>
      <c r="D45" s="4" t="s">
        <v>109</v>
      </c>
      <c r="F45" s="3"/>
    </row>
    <row r="46" spans="2:6" ht="12">
      <c r="B46" s="24" t="str">
        <f>IF(B31=-1,"CAS A NE PAS CONSIDERER",IF(B40&lt;B45,"OK","KO"))</f>
        <v>OK</v>
      </c>
      <c r="F46" s="3"/>
    </row>
    <row r="47" spans="2:11" ht="12">
      <c r="B47" s="24"/>
      <c r="F47" s="3"/>
      <c r="I47" s="7"/>
      <c r="J47" s="2"/>
      <c r="K47" s="3"/>
    </row>
    <row r="48" spans="1:4" ht="12">
      <c r="A48" s="7" t="s">
        <v>131</v>
      </c>
      <c r="D48" s="4"/>
    </row>
    <row r="49" spans="1:4" ht="13.5">
      <c r="A49" s="5" t="s">
        <v>76</v>
      </c>
      <c r="B49" s="15">
        <f>IF(B31&gt;B6,B8*B4*B5*B6+B8*B10*B11*(B7-B6)+(B26-B27)*(B4*B5-B10*B11)*(B31-B6)+B25*(B4*B5-B10*B11)*(B7-B31),B8*B4*B5*B6+B8*B10*B11*(B7-B6)+B25*(B4*B5-B10*B11)*(B7-B6))</f>
        <v>123.75</v>
      </c>
      <c r="C49" s="3" t="s">
        <v>10</v>
      </c>
      <c r="D49" s="10" t="s">
        <v>143</v>
      </c>
    </row>
    <row r="50" spans="1:4" ht="13.5">
      <c r="A50" s="5" t="s">
        <v>77</v>
      </c>
      <c r="B50" s="23">
        <f>B16*(B4*B5-B10*B11)</f>
        <v>0</v>
      </c>
      <c r="C50" s="3" t="s">
        <v>10</v>
      </c>
      <c r="D50" s="10" t="s">
        <v>82</v>
      </c>
    </row>
    <row r="51" spans="1:4" ht="13.5">
      <c r="A51" s="5" t="s">
        <v>138</v>
      </c>
      <c r="B51" s="23">
        <f>IF(B31=-1,B25*B7,(B26-B27)*B31+B25*(B7-B31))</f>
        <v>20</v>
      </c>
      <c r="C51" s="3" t="s">
        <v>11</v>
      </c>
      <c r="D51" s="3" t="s">
        <v>144</v>
      </c>
    </row>
    <row r="52" spans="1:12" ht="13.5">
      <c r="A52" s="5" t="s">
        <v>101</v>
      </c>
      <c r="B52" s="23">
        <f>B51*B4*B5</f>
        <v>90</v>
      </c>
      <c r="C52" s="3" t="s">
        <v>10</v>
      </c>
      <c r="D52" s="10" t="s">
        <v>145</v>
      </c>
      <c r="H52"/>
      <c r="I52"/>
      <c r="J52"/>
      <c r="K52"/>
      <c r="L52"/>
    </row>
    <row r="53" spans="1:14" ht="13.5">
      <c r="A53" s="5" t="s">
        <v>107</v>
      </c>
      <c r="B53" s="23">
        <f>B21*(B14+B49)+B22*(B15+B50)</f>
        <v>872.0625</v>
      </c>
      <c r="C53" s="3" t="s">
        <v>10</v>
      </c>
      <c r="D53" s="10" t="s">
        <v>86</v>
      </c>
      <c r="N53" s="3"/>
    </row>
    <row r="54" spans="1:14" ht="13.5">
      <c r="A54" s="5" t="s">
        <v>106</v>
      </c>
      <c r="B54" s="27">
        <f>B53-B52</f>
        <v>782.0625</v>
      </c>
      <c r="C54" s="3" t="s">
        <v>10</v>
      </c>
      <c r="D54" s="10"/>
      <c r="N54" s="3"/>
    </row>
    <row r="55" spans="1:12" ht="14.25">
      <c r="A55" s="5" t="s">
        <v>52</v>
      </c>
      <c r="B55" s="9">
        <f>1-2*B17*PI()/180/(PI()+2)</f>
        <v>1</v>
      </c>
      <c r="D55" s="4" t="s">
        <v>112</v>
      </c>
      <c r="G55" s="33"/>
      <c r="K55" s="7" t="s">
        <v>122</v>
      </c>
      <c r="L55" s="3"/>
    </row>
    <row r="56" spans="1:12" ht="14.25">
      <c r="A56" s="5" t="s">
        <v>55</v>
      </c>
      <c r="B56" s="9">
        <f>EXP(PI()*TAN(I23))*(TAN(PI()/4+I23/2))^2</f>
        <v>10.66214238849845</v>
      </c>
      <c r="D56" s="4" t="s">
        <v>134</v>
      </c>
      <c r="K56" s="32">
        <f>(B39-B38)/B45</f>
        <v>0.8443027090117171</v>
      </c>
      <c r="L56" s="3" t="s">
        <v>124</v>
      </c>
    </row>
    <row r="57" spans="1:12" ht="13.5">
      <c r="A57" s="5" t="s">
        <v>56</v>
      </c>
      <c r="B57" s="9">
        <f>(B56-1)/TAN(I23)</f>
        <v>20.720531219083686</v>
      </c>
      <c r="D57" s="4" t="s">
        <v>113</v>
      </c>
      <c r="K57" s="32">
        <f>(B53-B52)/B73</f>
        <v>0.8895391370601287</v>
      </c>
      <c r="L57" s="3" t="s">
        <v>125</v>
      </c>
    </row>
    <row r="58" spans="1:12" ht="13.5">
      <c r="A58" s="5" t="s">
        <v>57</v>
      </c>
      <c r="B58" s="9">
        <f>2*(B56-1)*TAN(I23)</f>
        <v>9.011061979881713</v>
      </c>
      <c r="D58" s="4" t="s">
        <v>114</v>
      </c>
      <c r="K58" s="17" t="str">
        <f>IF(K56&lt;1,IF(K57&lt;1,"&lt; 1","&gt; 1"),"&gt; 1")</f>
        <v>&lt; 1</v>
      </c>
      <c r="L58" s="7" t="str">
        <f>IF(K56&lt;1,IF(K57&lt;1,"OK","KO"),"KO")</f>
        <v>OK</v>
      </c>
    </row>
    <row r="59" spans="1:4" ht="13.5">
      <c r="A59" s="5" t="s">
        <v>58</v>
      </c>
      <c r="B59" s="9">
        <f>1+I17/I18*SIN(I23)</f>
        <v>1.2113091308703496</v>
      </c>
      <c r="D59" s="4" t="s">
        <v>133</v>
      </c>
    </row>
    <row r="60" spans="1:4" ht="13.5">
      <c r="A60" s="5" t="s">
        <v>53</v>
      </c>
      <c r="B60" s="9">
        <f>(B59*B56-1)/(B56-1)</f>
        <v>1.233178931828974</v>
      </c>
      <c r="D60" s="4" t="s">
        <v>115</v>
      </c>
    </row>
    <row r="61" spans="1:4" ht="13.5">
      <c r="A61" s="5" t="s">
        <v>59</v>
      </c>
      <c r="B61" s="9">
        <f>1-0.3*I17/I18</f>
        <v>0.85</v>
      </c>
      <c r="D61" s="4" t="s">
        <v>93</v>
      </c>
    </row>
    <row r="62" spans="1:4" ht="14.25">
      <c r="A62" s="5" t="s">
        <v>60</v>
      </c>
      <c r="B62" s="9">
        <f>(1-I24*TAN(I23))^2</f>
        <v>1</v>
      </c>
      <c r="D62" s="4" t="s">
        <v>112</v>
      </c>
    </row>
    <row r="63" spans="1:4" ht="13.5">
      <c r="A63" s="5" t="s">
        <v>52</v>
      </c>
      <c r="B63" s="9">
        <f>B62-(1-B62)*TAN(I23)/B57</f>
        <v>1</v>
      </c>
      <c r="D63" s="4" t="s">
        <v>93</v>
      </c>
    </row>
    <row r="64" spans="1:4" ht="14.25">
      <c r="A64" s="5" t="s">
        <v>61</v>
      </c>
      <c r="B64" s="9">
        <f>B62</f>
        <v>1</v>
      </c>
      <c r="D64" s="4" t="s">
        <v>112</v>
      </c>
    </row>
    <row r="65" spans="1:15" ht="13.5">
      <c r="A65" s="5" t="s">
        <v>62</v>
      </c>
      <c r="B65" s="9">
        <f>(2+I17/I18)/(1+I17/I18)</f>
        <v>1.6666666666666667</v>
      </c>
      <c r="D65" s="4" t="s">
        <v>116</v>
      </c>
      <c r="M65" s="5"/>
      <c r="N65" s="2"/>
      <c r="O65" s="3"/>
    </row>
    <row r="66" spans="1:4" ht="13.5">
      <c r="A66" s="5" t="s">
        <v>63</v>
      </c>
      <c r="B66" s="9">
        <f>(2+I18/I17)/(1+I18/I17)</f>
        <v>1.3333333333333333</v>
      </c>
      <c r="D66" s="4" t="s">
        <v>117</v>
      </c>
    </row>
    <row r="67" spans="1:4" ht="14.25">
      <c r="A67" s="5" t="s">
        <v>5</v>
      </c>
      <c r="B67" s="9">
        <f>B66*COS(I25)^2+B65*SIN(I25)^2</f>
        <v>1.3333333333333333</v>
      </c>
      <c r="D67" s="4" t="s">
        <v>118</v>
      </c>
    </row>
    <row r="68" spans="1:8" ht="14.25">
      <c r="A68" s="5" t="s">
        <v>64</v>
      </c>
      <c r="B68" s="9">
        <f>(1-I27/(B39+I20*B29/TAN(I23)))^B67</f>
        <v>1</v>
      </c>
      <c r="D68" s="4" t="s">
        <v>132</v>
      </c>
      <c r="H68" s="2"/>
    </row>
    <row r="69" spans="1:4" ht="13.5">
      <c r="A69" s="5" t="s">
        <v>54</v>
      </c>
      <c r="B69" s="9">
        <f>B68-(1-B68)*TAN(I23)/B57</f>
        <v>1</v>
      </c>
      <c r="D69" s="4" t="s">
        <v>119</v>
      </c>
    </row>
    <row r="70" spans="1:4" ht="14.25">
      <c r="A70" s="5" t="s">
        <v>65</v>
      </c>
      <c r="B70" s="9">
        <f>(1-I27/(B39+I20*B29/TAN(I23)))^(B67+1)</f>
        <v>1</v>
      </c>
      <c r="D70" s="4" t="s">
        <v>135</v>
      </c>
    </row>
    <row r="71" spans="1:4" ht="13.5">
      <c r="A71" s="5" t="s">
        <v>121</v>
      </c>
      <c r="B71" s="9">
        <f>IF(B31=-1,B25*B7,(B26-B27)*B31+B25*(B7-B31))</f>
        <v>20</v>
      </c>
      <c r="C71" s="3" t="s">
        <v>11</v>
      </c>
      <c r="D71" s="3" t="s">
        <v>142</v>
      </c>
    </row>
    <row r="72" spans="1:4" ht="13.5">
      <c r="A72" s="5" t="s">
        <v>105</v>
      </c>
      <c r="B72" s="12">
        <f>IF(B31=-1,B29*B57*B63*B60*B69+B71*(B56-1)*B62*B59*B68+0.5*B25*I17*B58*B64*B61*B70,B29*B57*B63*B60*B69+B71*(B56-1)*B62*B59*B68+0.5*(B26-B27)*I17*B58*B64*B61*B70)</f>
        <v>547.0435716576837</v>
      </c>
      <c r="C72" s="3" t="s">
        <v>11</v>
      </c>
      <c r="D72" s="4" t="s">
        <v>120</v>
      </c>
    </row>
    <row r="73" spans="1:4" ht="13.5">
      <c r="A73" s="5" t="s">
        <v>108</v>
      </c>
      <c r="B73" s="28">
        <f>B72*I20/H10/H11</f>
        <v>879.1771687355632</v>
      </c>
      <c r="C73" s="3" t="s">
        <v>10</v>
      </c>
      <c r="D73" s="4" t="s">
        <v>109</v>
      </c>
    </row>
    <row r="74" ht="12">
      <c r="B74" s="24" t="str">
        <f>IF(B73&lt;B54,"KO","OK")</f>
        <v>OK</v>
      </c>
    </row>
  </sheetData>
  <sheetProtection password="DE57" sheet="1" objects="1" scenarios="1" selectLockedCells="1"/>
  <conditionalFormatting sqref="B46">
    <cfRule type="cellIs" priority="1" dxfId="0" operator="equal" stopIfTrue="1">
      <formula>"KO"</formula>
    </cfRule>
    <cfRule type="cellIs" priority="2" dxfId="0" operator="equal" stopIfTrue="1">
      <formula>"CAS A NE PAS CONSIDERER"</formula>
    </cfRule>
  </conditionalFormatting>
  <conditionalFormatting sqref="L58 B74 B47">
    <cfRule type="cellIs" priority="3" dxfId="0" operator="equal" stopIfTrue="1">
      <formula>"KO"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3"/>
  <legacyDrawing r:id="rId2"/>
  <oleObjects>
    <oleObject progId="Designer.Drawing.7" shapeId="17100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christian</cp:lastModifiedBy>
  <cp:lastPrinted>2012-09-13T06:43:03Z</cp:lastPrinted>
  <dcterms:created xsi:type="dcterms:W3CDTF">2012-03-10T13:38:17Z</dcterms:created>
  <dcterms:modified xsi:type="dcterms:W3CDTF">2016-12-15T06:49:08Z</dcterms:modified>
  <cp:category/>
  <cp:version/>
  <cp:contentType/>
  <cp:contentStatus/>
</cp:coreProperties>
</file>