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0335" windowHeight="7560" activeTab="0"/>
  </bookViews>
  <sheets>
    <sheet name="Feuil1" sheetId="1" r:id="rId1"/>
  </sheets>
  <definedNames>
    <definedName name="Asw">'Feuil1'!$B$63</definedName>
    <definedName name="fck">'Feuil1'!$G$3</definedName>
    <definedName name="LL">'Feuil1'!$B$3</definedName>
    <definedName name="oo">'Feuil1'!$AT$72</definedName>
    <definedName name="p">'Feuil1'!$B$4</definedName>
    <definedName name="rbet">'Feuil1'!$B$15</definedName>
    <definedName name="z">'Feuil1'!$B$71</definedName>
    <definedName name="_xlnm.Print_Area" localSheetId="0">'Feuil1'!$A$1:$AK$126</definedName>
  </definedNames>
  <calcPr fullCalcOnLoad="1"/>
</workbook>
</file>

<file path=xl/comments1.xml><?xml version="1.0" encoding="utf-8"?>
<comments xmlns="http://schemas.openxmlformats.org/spreadsheetml/2006/main">
  <authors>
    <author>mactho1</author>
  </authors>
  <commentList>
    <comment ref="A22" authorId="0">
      <text>
        <r>
          <rPr>
            <b/>
            <sz val="9"/>
            <rFont val="Tahoma"/>
            <family val="0"/>
          </rPr>
          <t>Moments à l'appui gauche et droit donnant l'effort tranchant maximum à l'appui gauche</t>
        </r>
        <r>
          <rPr>
            <sz val="9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0"/>
          </rPr>
          <t>Moments à l'appui gauche et droit donnant l'effort tranchant maximum à l'appui droit</t>
        </r>
      </text>
    </comment>
    <comment ref="A16" authorId="0">
      <text>
        <r>
          <rPr>
            <b/>
            <sz val="9"/>
            <rFont val="Tahoma"/>
            <family val="0"/>
          </rPr>
          <t xml:space="preserve">— très lisse : </t>
        </r>
        <r>
          <rPr>
            <sz val="9"/>
            <rFont val="Tahoma"/>
            <family val="0"/>
          </rPr>
          <t xml:space="preserve">surface coulée au contact de moules en acier, en matière plastique, ou en bois traité spécialement : c = 0,25 et </t>
        </r>
        <r>
          <rPr>
            <sz val="9"/>
            <rFont val="Symbol"/>
            <family val="1"/>
          </rPr>
          <t xml:space="preserve">m </t>
        </r>
        <r>
          <rPr>
            <sz val="9"/>
            <rFont val="Tahoma"/>
            <family val="0"/>
          </rPr>
          <t>= 0,5</t>
        </r>
        <r>
          <rPr>
            <b/>
            <sz val="9"/>
            <rFont val="Tahoma"/>
            <family val="0"/>
          </rPr>
          <t xml:space="preserve">
— lisse : </t>
        </r>
        <r>
          <rPr>
            <sz val="9"/>
            <rFont val="Tahoma"/>
            <family val="0"/>
          </rPr>
          <t xml:space="preserve">surface réalisée à l'aide de coffrages glissants ou surface extrudée ou surface non coffrée laissée sans traitement ultérieur après vibration : c = 0,35 et </t>
        </r>
        <r>
          <rPr>
            <sz val="9"/>
            <rFont val="Symbol"/>
            <family val="1"/>
          </rPr>
          <t>m</t>
        </r>
        <r>
          <rPr>
            <sz val="9"/>
            <rFont val="Tahoma"/>
            <family val="0"/>
          </rPr>
          <t xml:space="preserve"> = 0,6</t>
        </r>
        <r>
          <rPr>
            <b/>
            <sz val="9"/>
            <rFont val="Tahoma"/>
            <family val="0"/>
          </rPr>
          <t xml:space="preserve">
— rugueuse : </t>
        </r>
        <r>
          <rPr>
            <sz val="9"/>
            <rFont val="Tahoma"/>
            <family val="2"/>
          </rPr>
          <t xml:space="preserve">surface présentant des aspérités d'au moins 3 mm de haut espacées d'environ 40 mm, obtenues </t>
        </r>
        <r>
          <rPr>
            <sz val="9"/>
            <rFont val="Tahoma"/>
            <family val="0"/>
          </rPr>
          <t xml:space="preserve">par striage, lavage direct ou toute autre méthode donnant 
                     un comportement équivalent : c = 0,45 et </t>
        </r>
        <r>
          <rPr>
            <sz val="9"/>
            <rFont val="Symbol"/>
            <family val="1"/>
          </rPr>
          <t>m</t>
        </r>
        <r>
          <rPr>
            <sz val="9"/>
            <rFont val="Tahoma"/>
            <family val="0"/>
          </rPr>
          <t xml:space="preserve"> = 0,7</t>
        </r>
        <r>
          <rPr>
            <b/>
            <sz val="9"/>
            <rFont val="Tahoma"/>
            <family val="0"/>
          </rPr>
          <t xml:space="preserve">
— avec indentation : </t>
        </r>
        <r>
          <rPr>
            <sz val="9"/>
            <rFont val="Tahoma"/>
            <family val="0"/>
          </rPr>
          <t xml:space="preserve">surface présentant des clés comme  : c = 0,50 et </t>
        </r>
        <r>
          <rPr>
            <sz val="9"/>
            <rFont val="Symbol"/>
            <family val="1"/>
          </rPr>
          <t>m</t>
        </r>
        <r>
          <rPr>
            <sz val="9"/>
            <rFont val="Tahoma"/>
            <family val="0"/>
          </rPr>
          <t xml:space="preserve"> = 0,9.</t>
        </r>
      </text>
    </comment>
  </commentList>
</comments>
</file>

<file path=xl/sharedStrings.xml><?xml version="1.0" encoding="utf-8"?>
<sst xmlns="http://schemas.openxmlformats.org/spreadsheetml/2006/main" count="295" uniqueCount="174">
  <si>
    <t>L</t>
  </si>
  <si>
    <t>p</t>
  </si>
  <si>
    <t>m</t>
  </si>
  <si>
    <t>kN/m</t>
  </si>
  <si>
    <t>b</t>
  </si>
  <si>
    <t>h</t>
  </si>
  <si>
    <t>d</t>
  </si>
  <si>
    <t>d'</t>
  </si>
  <si>
    <t>MN</t>
  </si>
  <si>
    <t>z</t>
  </si>
  <si>
    <r>
      <t>cot</t>
    </r>
    <r>
      <rPr>
        <sz val="9"/>
        <rFont val="Symbol"/>
        <family val="1"/>
      </rPr>
      <t>q</t>
    </r>
  </si>
  <si>
    <r>
      <t>cot</t>
    </r>
    <r>
      <rPr>
        <sz val="9"/>
        <rFont val="Symbol"/>
        <family val="1"/>
      </rPr>
      <t>a</t>
    </r>
  </si>
  <si>
    <t>r</t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</si>
  <si>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/m</t>
    </r>
  </si>
  <si>
    <r>
      <t>b</t>
    </r>
    <r>
      <rPr>
        <vertAlign val="subscript"/>
        <sz val="9"/>
        <rFont val="Arial"/>
        <family val="2"/>
      </rPr>
      <t>w</t>
    </r>
  </si>
  <si>
    <r>
      <t>h</t>
    </r>
    <r>
      <rPr>
        <vertAlign val="subscript"/>
        <sz val="9"/>
        <rFont val="Arial"/>
        <family val="2"/>
      </rPr>
      <t>f</t>
    </r>
  </si>
  <si>
    <t>q</t>
  </si>
  <si>
    <t>a</t>
  </si>
  <si>
    <r>
      <t>(A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/s)</t>
    </r>
    <r>
      <rPr>
        <vertAlign val="subscript"/>
        <sz val="9"/>
        <rFont val="Arial"/>
        <family val="2"/>
      </rPr>
      <t>min</t>
    </r>
  </si>
  <si>
    <r>
      <t>s</t>
    </r>
    <r>
      <rPr>
        <vertAlign val="subscript"/>
        <sz val="9"/>
        <rFont val="Arial"/>
        <family val="2"/>
      </rPr>
      <t>max</t>
    </r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</si>
  <si>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</si>
  <si>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yk</t>
    </r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</si>
  <si>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</si>
  <si>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</si>
  <si>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cd</t>
    </r>
  </si>
  <si>
    <r>
      <t>f</t>
    </r>
    <r>
      <rPr>
        <vertAlign val="subscript"/>
        <sz val="9"/>
        <rFont val="Arial"/>
        <family val="2"/>
      </rPr>
      <t>ctd</t>
    </r>
  </si>
  <si>
    <r>
      <t>f</t>
    </r>
    <r>
      <rPr>
        <vertAlign val="subscript"/>
        <sz val="9"/>
        <rFont val="Arial"/>
        <family val="2"/>
      </rPr>
      <t>yd</t>
    </r>
  </si>
  <si>
    <t>MPa</t>
  </si>
  <si>
    <t>rd</t>
  </si>
  <si>
    <r>
      <t>abscisse de calcul de V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 xml:space="preserve"> = Max[d ; z.cot</t>
    </r>
    <r>
      <rPr>
        <sz val="9"/>
        <rFont val="Symbol"/>
        <family val="1"/>
      </rPr>
      <t>q</t>
    </r>
    <r>
      <rPr>
        <sz val="9"/>
        <rFont val="Arial"/>
        <family val="2"/>
      </rPr>
      <t>]</t>
    </r>
  </si>
  <si>
    <t>nb brins</t>
  </si>
  <si>
    <t>HA</t>
  </si>
  <si>
    <r>
      <t>A</t>
    </r>
    <r>
      <rPr>
        <vertAlign val="subscript"/>
        <sz val="9"/>
        <rFont val="Arial"/>
        <family val="2"/>
      </rPr>
      <t>sw</t>
    </r>
  </si>
  <si>
    <t>mm</t>
  </si>
  <si>
    <r>
      <t>z.(cot</t>
    </r>
    <r>
      <rPr>
        <sz val="9"/>
        <rFont val="Symbol"/>
        <family val="1"/>
      </rPr>
      <t>q</t>
    </r>
    <r>
      <rPr>
        <sz val="9"/>
        <rFont val="Arial"/>
        <family val="0"/>
      </rPr>
      <t>+cot</t>
    </r>
    <r>
      <rPr>
        <sz val="9"/>
        <rFont val="Symbol"/>
        <family val="1"/>
      </rPr>
      <t>a</t>
    </r>
    <r>
      <rPr>
        <sz val="9"/>
        <rFont val="Arial"/>
        <family val="0"/>
      </rPr>
      <t>)</t>
    </r>
  </si>
  <si>
    <t>x</t>
  </si>
  <si>
    <t>V</t>
  </si>
  <si>
    <t>A</t>
  </si>
  <si>
    <t>B</t>
  </si>
  <si>
    <t>C</t>
  </si>
  <si>
    <t>D</t>
  </si>
  <si>
    <t>E</t>
  </si>
  <si>
    <r>
      <t>x</t>
    </r>
    <r>
      <rPr>
        <vertAlign val="subscript"/>
        <sz val="9"/>
        <rFont val="Arial"/>
        <family val="2"/>
      </rPr>
      <t>A</t>
    </r>
  </si>
  <si>
    <t>Reprise de bétonnage</t>
  </si>
  <si>
    <t>très lisse</t>
  </si>
  <si>
    <t>lisse</t>
  </si>
  <si>
    <t>rugueuse</t>
  </si>
  <si>
    <t>indentations</t>
  </si>
  <si>
    <t>c</t>
  </si>
  <si>
    <r>
      <t>v</t>
    </r>
    <r>
      <rPr>
        <vertAlign val="subscript"/>
        <sz val="9"/>
        <rFont val="Arial"/>
        <family val="2"/>
      </rPr>
      <t>Edi</t>
    </r>
  </si>
  <si>
    <t>M</t>
  </si>
  <si>
    <t>MNm</t>
  </si>
  <si>
    <r>
      <t xml:space="preserve">= </t>
    </r>
    <r>
      <rPr>
        <sz val="9"/>
        <rFont val="Symbol"/>
        <family val="1"/>
      </rPr>
      <t>x</t>
    </r>
    <r>
      <rPr>
        <sz val="9"/>
        <rFont val="Arial"/>
        <family val="0"/>
      </rPr>
      <t>.d</t>
    </r>
  </si>
  <si>
    <t>longueur</t>
  </si>
  <si>
    <r>
      <t>= V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 xml:space="preserve"> - p.x</t>
    </r>
  </si>
  <si>
    <r>
      <t>= x</t>
    </r>
    <r>
      <rPr>
        <vertAlign val="subscript"/>
        <sz val="9"/>
        <rFont val="Arial"/>
        <family val="2"/>
      </rPr>
      <t>précédent</t>
    </r>
    <r>
      <rPr>
        <sz val="9"/>
        <rFont val="Arial"/>
        <family val="0"/>
      </rPr>
      <t xml:space="preserve"> + z.(cot</t>
    </r>
    <r>
      <rPr>
        <sz val="9"/>
        <rFont val="Symbol"/>
        <family val="1"/>
      </rPr>
      <t>q</t>
    </r>
    <r>
      <rPr>
        <sz val="9"/>
        <rFont val="Arial"/>
        <family val="0"/>
      </rPr>
      <t xml:space="preserve"> + cot</t>
    </r>
    <r>
      <rPr>
        <sz val="9"/>
        <rFont val="Symbol"/>
        <family val="1"/>
      </rPr>
      <t>a</t>
    </r>
    <r>
      <rPr>
        <sz val="9"/>
        <rFont val="Arial"/>
        <family val="0"/>
      </rPr>
      <t>)</t>
    </r>
  </si>
  <si>
    <r>
      <t xml:space="preserve">= </t>
    </r>
    <r>
      <rPr>
        <sz val="9"/>
        <rFont val="Arial"/>
        <family val="0"/>
      </rPr>
      <t xml:space="preserve"> z.(cot</t>
    </r>
    <r>
      <rPr>
        <sz val="9"/>
        <rFont val="Symbol"/>
        <family val="1"/>
      </rPr>
      <t>q</t>
    </r>
    <r>
      <rPr>
        <sz val="9"/>
        <rFont val="Arial"/>
        <family val="0"/>
      </rPr>
      <t xml:space="preserve"> + cot</t>
    </r>
    <r>
      <rPr>
        <sz val="9"/>
        <rFont val="Symbol"/>
        <family val="1"/>
      </rPr>
      <t>a</t>
    </r>
    <r>
      <rPr>
        <sz val="9"/>
        <rFont val="Arial"/>
        <family val="0"/>
      </rPr>
      <t>)</t>
    </r>
  </si>
  <si>
    <r>
      <t>(A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/s)</t>
    </r>
  </si>
  <si>
    <r>
      <t>cm</t>
    </r>
    <r>
      <rPr>
        <vertAlign val="superscript"/>
        <sz val="9"/>
        <rFont val="Arial"/>
        <family val="2"/>
      </rPr>
      <t>2</t>
    </r>
  </si>
  <si>
    <r>
      <t>= p.x'.(L' -x')/ 2 + (1 - x'/L).M</t>
    </r>
    <r>
      <rPr>
        <vertAlign val="subscript"/>
        <sz val="9"/>
        <rFont val="Arial"/>
        <family val="2"/>
      </rPr>
      <t>g</t>
    </r>
    <r>
      <rPr>
        <sz val="9"/>
        <rFont val="Arial"/>
        <family val="0"/>
      </rPr>
      <t xml:space="preserve"> + (x'/L).M</t>
    </r>
    <r>
      <rPr>
        <vertAlign val="subscript"/>
        <sz val="9"/>
        <rFont val="Arial"/>
        <family val="2"/>
      </rPr>
      <t>d</t>
    </r>
  </si>
  <si>
    <r>
      <t>= M/(b.d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cd</t>
    </r>
    <r>
      <rPr>
        <sz val="9"/>
        <rFont val="Arial"/>
        <family val="0"/>
      </rPr>
      <t>)</t>
    </r>
  </si>
  <si>
    <t>k</t>
  </si>
  <si>
    <r>
      <t>s</t>
    </r>
    <r>
      <rPr>
        <vertAlign val="subscript"/>
        <sz val="9"/>
        <rFont val="Arial"/>
        <family val="2"/>
      </rPr>
      <t>n</t>
    </r>
  </si>
  <si>
    <r>
      <t>= (1 - k),p/b</t>
    </r>
    <r>
      <rPr>
        <vertAlign val="subscript"/>
        <sz val="9"/>
        <rFont val="Arial"/>
        <family val="2"/>
      </rPr>
      <t>w</t>
    </r>
  </si>
  <si>
    <t>§ 6,2,5 (1)</t>
  </si>
  <si>
    <t>Eff. Tr.</t>
  </si>
  <si>
    <t>Repr.Bét.</t>
  </si>
  <si>
    <t>F</t>
  </si>
  <si>
    <t>Mini</t>
  </si>
  <si>
    <t>G</t>
  </si>
  <si>
    <t>surface</t>
  </si>
  <si>
    <r>
      <t>c.f</t>
    </r>
    <r>
      <rPr>
        <vertAlign val="subscript"/>
        <sz val="9"/>
        <rFont val="Arial"/>
        <family val="2"/>
      </rPr>
      <t>ctd</t>
    </r>
  </si>
  <si>
    <r>
      <t>x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 xml:space="preserve"> = Max[d ; z.cot</t>
    </r>
    <r>
      <rPr>
        <sz val="9"/>
        <rFont val="Symbol"/>
        <family val="1"/>
      </rPr>
      <t>q</t>
    </r>
    <r>
      <rPr>
        <sz val="9"/>
        <rFont val="Arial"/>
        <family val="0"/>
      </rPr>
      <t>]</t>
    </r>
  </si>
  <si>
    <r>
      <t>x</t>
    </r>
    <r>
      <rPr>
        <vertAlign val="subscript"/>
        <sz val="9"/>
        <rFont val="Arial"/>
        <family val="2"/>
      </rPr>
      <t xml:space="preserve">0 </t>
    </r>
    <r>
      <rPr>
        <sz val="9"/>
        <rFont val="Arial"/>
        <family val="0"/>
      </rPr>
      <t>= 0,5 Max[d ; z.cot</t>
    </r>
    <r>
      <rPr>
        <sz val="9"/>
        <rFont val="Symbol"/>
        <family val="1"/>
      </rPr>
      <t>q</t>
    </r>
    <r>
      <rPr>
        <sz val="9"/>
        <rFont val="Arial"/>
        <family val="0"/>
      </rPr>
      <t>]</t>
    </r>
  </si>
  <si>
    <r>
      <t>v</t>
    </r>
    <r>
      <rPr>
        <vertAlign val="subscript"/>
        <sz val="9"/>
        <rFont val="Arial"/>
        <family val="2"/>
      </rPr>
      <t>0</t>
    </r>
  </si>
  <si>
    <r>
      <t>= c.f</t>
    </r>
    <r>
      <rPr>
        <vertAlign val="subscript"/>
        <sz val="9"/>
        <rFont val="Arial"/>
        <family val="2"/>
      </rPr>
      <t>ctd</t>
    </r>
    <r>
      <rPr>
        <sz val="9"/>
        <rFont val="Arial"/>
        <family val="0"/>
      </rPr>
      <t xml:space="preserve"> + </t>
    </r>
    <r>
      <rPr>
        <sz val="9"/>
        <rFont val="Symbol"/>
        <family val="1"/>
      </rPr>
      <t>m</t>
    </r>
    <r>
      <rPr>
        <sz val="9"/>
        <rFont val="Arial"/>
        <family val="0"/>
      </rPr>
      <t>.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n</t>
    </r>
  </si>
  <si>
    <r>
      <t xml:space="preserve">= </t>
    </r>
    <r>
      <rPr>
        <sz val="9"/>
        <rFont val="Symbol"/>
        <family val="1"/>
      </rPr>
      <t>b</t>
    </r>
    <r>
      <rPr>
        <sz val="9"/>
        <rFont val="Arial"/>
        <family val="0"/>
      </rPr>
      <t>.V/(b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.z)</t>
    </r>
  </si>
  <si>
    <t>portée</t>
  </si>
  <si>
    <t>charge ELU</t>
  </si>
  <si>
    <t>hauteur</t>
  </si>
  <si>
    <t>largeur âme</t>
  </si>
  <si>
    <t>hauteur table</t>
  </si>
  <si>
    <t>lmargeur table</t>
  </si>
  <si>
    <t>hauteur utile M &gt; 0</t>
  </si>
  <si>
    <t>hauteur utile M &lt; 0</t>
  </si>
  <si>
    <t>position de la fibre neutre</t>
  </si>
  <si>
    <t>béton compression</t>
  </si>
  <si>
    <t>béton traction</t>
  </si>
  <si>
    <t>acier traction</t>
  </si>
  <si>
    <t>coefficient béton</t>
  </si>
  <si>
    <t>coefficient acier</t>
  </si>
  <si>
    <t>bras de levier</t>
  </si>
  <si>
    <t>inclinaison bielles</t>
  </si>
  <si>
    <t>inclinaison cadres</t>
  </si>
  <si>
    <t>H. Thonier</t>
  </si>
  <si>
    <t>de l'utilisation faite</t>
  </si>
  <si>
    <t>de ce programme</t>
  </si>
  <si>
    <t>pas responsable</t>
  </si>
  <si>
    <t xml:space="preserve">L'auteur n'est </t>
  </si>
  <si>
    <t>cadres, épingles et étriers</t>
  </si>
  <si>
    <t>diamètre</t>
  </si>
  <si>
    <t>aire d'un cours</t>
  </si>
  <si>
    <t>type de surface de reprise</t>
  </si>
  <si>
    <t>H</t>
  </si>
  <si>
    <t>dessin</t>
  </si>
  <si>
    <t>I</t>
  </si>
  <si>
    <t>cours de cadres</t>
  </si>
  <si>
    <t>appui</t>
  </si>
  <si>
    <t>gauche</t>
  </si>
  <si>
    <t>droit</t>
  </si>
  <si>
    <t>Moments 1</t>
  </si>
  <si>
    <t>Moments 2</t>
  </si>
  <si>
    <t>effort tranchant au nu gauche</t>
  </si>
  <si>
    <r>
      <t>x</t>
    </r>
    <r>
      <rPr>
        <vertAlign val="subscript"/>
        <sz val="9"/>
        <rFont val="Arial"/>
        <family val="2"/>
      </rPr>
      <t>Vg</t>
    </r>
  </si>
  <si>
    <t>abscisse de l'effort tranchant nu pour le cas 1</t>
  </si>
  <si>
    <t>abscisse de l'effort tranchant nu pour le cas 2</t>
  </si>
  <si>
    <r>
      <t>x</t>
    </r>
    <r>
      <rPr>
        <vertAlign val="subscript"/>
        <sz val="9"/>
        <rFont val="Arial"/>
        <family val="2"/>
      </rPr>
      <t>Vd</t>
    </r>
  </si>
  <si>
    <r>
      <t>V</t>
    </r>
    <r>
      <rPr>
        <vertAlign val="subscript"/>
        <sz val="9"/>
        <rFont val="Arial"/>
        <family val="2"/>
      </rPr>
      <t>Ag</t>
    </r>
  </si>
  <si>
    <r>
      <t>V</t>
    </r>
    <r>
      <rPr>
        <vertAlign val="subscript"/>
        <sz val="9"/>
        <rFont val="Arial"/>
        <family val="2"/>
      </rPr>
      <t>0g</t>
    </r>
  </si>
  <si>
    <r>
      <t>V</t>
    </r>
    <r>
      <rPr>
        <vertAlign val="subscript"/>
        <sz val="9"/>
        <rFont val="Arial"/>
        <family val="2"/>
      </rPr>
      <t>0d</t>
    </r>
  </si>
  <si>
    <t>effort tranchant au nu droit</t>
  </si>
  <si>
    <r>
      <t>V</t>
    </r>
    <r>
      <rPr>
        <vertAlign val="subscript"/>
        <sz val="9"/>
        <rFont val="Arial"/>
        <family val="2"/>
      </rPr>
      <t>Ad</t>
    </r>
  </si>
  <si>
    <r>
      <t>= V</t>
    </r>
    <r>
      <rPr>
        <vertAlign val="subscript"/>
        <sz val="9"/>
        <rFont val="Arial"/>
        <family val="2"/>
      </rPr>
      <t>0g</t>
    </r>
    <r>
      <rPr>
        <sz val="9"/>
        <rFont val="Arial"/>
        <family val="0"/>
      </rPr>
      <t xml:space="preserve"> - p.x</t>
    </r>
    <r>
      <rPr>
        <vertAlign val="subscript"/>
        <sz val="9"/>
        <rFont val="Arial"/>
        <family val="2"/>
      </rPr>
      <t>A</t>
    </r>
  </si>
  <si>
    <r>
      <t>= V</t>
    </r>
    <r>
      <rPr>
        <vertAlign val="subscript"/>
        <sz val="9"/>
        <rFont val="Arial"/>
        <family val="2"/>
      </rPr>
      <t>0d</t>
    </r>
    <r>
      <rPr>
        <sz val="9"/>
        <rFont val="Arial"/>
        <family val="0"/>
      </rPr>
      <t xml:space="preserve"> - p.x</t>
    </r>
    <r>
      <rPr>
        <vertAlign val="subscript"/>
        <sz val="9"/>
        <rFont val="Arial"/>
        <family val="2"/>
      </rPr>
      <t>A</t>
    </r>
  </si>
  <si>
    <r>
      <t>x</t>
    </r>
    <r>
      <rPr>
        <vertAlign val="subscript"/>
        <sz val="9"/>
        <rFont val="Arial"/>
        <family val="2"/>
      </rPr>
      <t>max,g</t>
    </r>
  </si>
  <si>
    <t>espacement maximal 0,75d</t>
  </si>
  <si>
    <r>
      <t>aire minimale : 0,08f</t>
    </r>
    <r>
      <rPr>
        <vertAlign val="subscript"/>
        <sz val="9"/>
        <rFont val="Arial"/>
        <family val="2"/>
      </rPr>
      <t>ck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>/f</t>
    </r>
    <r>
      <rPr>
        <vertAlign val="subscript"/>
        <sz val="9"/>
        <rFont val="Arial"/>
        <family val="2"/>
      </rPr>
      <t>yk</t>
    </r>
    <r>
      <rPr>
        <sz val="9"/>
        <rFont val="Arial"/>
        <family val="0"/>
      </rPr>
      <t>.b</t>
    </r>
    <r>
      <rPr>
        <vertAlign val="subscript"/>
        <sz val="9"/>
        <rFont val="Arial"/>
        <family val="2"/>
      </rPr>
      <t>w</t>
    </r>
  </si>
  <si>
    <r>
      <t>d° : 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</t>
    </r>
    <r>
      <rPr>
        <vertAlign val="subscript"/>
        <sz val="9"/>
        <rFont val="Arial"/>
        <family val="2"/>
      </rPr>
      <t>max</t>
    </r>
  </si>
  <si>
    <t>d°</t>
  </si>
  <si>
    <t>= Max[- ; -]</t>
  </si>
  <si>
    <t>Classes de béton  (Tab. 3.1 of EN 1992-1-1)</t>
  </si>
  <si>
    <r>
      <t>f</t>
    </r>
    <r>
      <rPr>
        <vertAlign val="subscript"/>
        <sz val="9"/>
        <rFont val="Arial"/>
        <family val="2"/>
      </rPr>
      <t>ctm</t>
    </r>
  </si>
  <si>
    <r>
      <t>E</t>
    </r>
    <r>
      <rPr>
        <vertAlign val="subscript"/>
        <sz val="9"/>
        <rFont val="Arial"/>
        <family val="2"/>
      </rPr>
      <t>cm</t>
    </r>
  </si>
  <si>
    <r>
      <t>e</t>
    </r>
    <r>
      <rPr>
        <vertAlign val="subscript"/>
        <sz val="9"/>
        <rFont val="Arial"/>
        <family val="2"/>
      </rPr>
      <t>cu1</t>
    </r>
  </si>
  <si>
    <r>
      <t>e</t>
    </r>
    <r>
      <rPr>
        <vertAlign val="subscript"/>
        <sz val="9"/>
        <rFont val="Arial"/>
        <family val="2"/>
      </rPr>
      <t>c1</t>
    </r>
  </si>
  <si>
    <r>
      <t>e</t>
    </r>
    <r>
      <rPr>
        <vertAlign val="subscript"/>
        <sz val="9"/>
        <rFont val="Arial"/>
        <family val="2"/>
      </rPr>
      <t>cu2</t>
    </r>
  </si>
  <si>
    <r>
      <t>e</t>
    </r>
    <r>
      <rPr>
        <vertAlign val="subscript"/>
        <sz val="9"/>
        <rFont val="Arial"/>
        <family val="2"/>
      </rPr>
      <t>c2</t>
    </r>
  </si>
  <si>
    <t>n</t>
  </si>
  <si>
    <r>
      <t>e</t>
    </r>
    <r>
      <rPr>
        <vertAlign val="subscript"/>
        <sz val="9"/>
        <rFont val="Arial"/>
        <family val="2"/>
      </rPr>
      <t>s0</t>
    </r>
  </si>
  <si>
    <r>
      <t>x</t>
    </r>
    <r>
      <rPr>
        <vertAlign val="subscript"/>
        <sz val="9"/>
        <rFont val="Arial"/>
        <family val="2"/>
      </rPr>
      <t>0</t>
    </r>
  </si>
  <si>
    <r>
      <t>m</t>
    </r>
    <r>
      <rPr>
        <vertAlign val="subscript"/>
        <sz val="9"/>
        <rFont val="Arial"/>
        <family val="2"/>
      </rPr>
      <t>0</t>
    </r>
  </si>
  <si>
    <t>J</t>
  </si>
  <si>
    <t>K</t>
  </si>
  <si>
    <t>N</t>
  </si>
  <si>
    <t>O</t>
  </si>
  <si>
    <t>P</t>
  </si>
  <si>
    <t>cas de charge N° 1</t>
  </si>
  <si>
    <t>cas de charge N° 2</t>
  </si>
  <si>
    <t>Résultats</t>
  </si>
  <si>
    <t>Liste des espacements :</t>
  </si>
  <si>
    <t>% mini</t>
  </si>
  <si>
    <t>Asw/s</t>
  </si>
  <si>
    <t>reprise de bétonnage : oui/non</t>
  </si>
  <si>
    <t>oui</t>
  </si>
  <si>
    <t>non</t>
  </si>
  <si>
    <t>M1</t>
  </si>
  <si>
    <t>M2</t>
  </si>
  <si>
    <r>
      <t>Max[d ; z.cot</t>
    </r>
    <r>
      <rPr>
        <sz val="9"/>
        <rFont val="Symbol"/>
        <family val="1"/>
      </rPr>
      <t>q</t>
    </r>
    <r>
      <rPr>
        <sz val="9"/>
        <rFont val="Arial"/>
        <family val="0"/>
      </rPr>
      <t>] + cot</t>
    </r>
    <r>
      <rPr>
        <sz val="9"/>
        <rFont val="Symbol"/>
        <family val="1"/>
      </rPr>
      <t>a</t>
    </r>
  </si>
  <si>
    <r>
      <t>z.(cot</t>
    </r>
    <r>
      <rPr>
        <sz val="9"/>
        <rFont val="Symbol"/>
        <family val="1"/>
      </rPr>
      <t>q</t>
    </r>
    <r>
      <rPr>
        <sz val="9"/>
        <rFont val="Arial"/>
        <family val="0"/>
      </rPr>
      <t xml:space="preserve"> + cot</t>
    </r>
    <r>
      <rPr>
        <sz val="9"/>
        <rFont val="Symbol"/>
        <family val="1"/>
      </rPr>
      <t>a</t>
    </r>
    <r>
      <rPr>
        <sz val="9"/>
        <rFont val="Arial"/>
        <family val="2"/>
      </rPr>
      <t>)</t>
    </r>
  </si>
  <si>
    <t>128-Effort tranchant et reprise de bétonnage des poutres en Té</t>
  </si>
  <si>
    <r>
      <t>V</t>
    </r>
    <r>
      <rPr>
        <vertAlign val="subscript"/>
        <sz val="9"/>
        <rFont val="Arial"/>
        <family val="2"/>
      </rPr>
      <t>Rd,max</t>
    </r>
  </si>
  <si>
    <r>
      <t>V</t>
    </r>
    <r>
      <rPr>
        <vertAlign val="subscript"/>
        <sz val="9"/>
        <rFont val="Arial"/>
        <family val="2"/>
      </rPr>
      <t>Ed,g</t>
    </r>
  </si>
  <si>
    <r>
      <t>V</t>
    </r>
    <r>
      <rPr>
        <vertAlign val="subscript"/>
        <sz val="9"/>
        <rFont val="Arial"/>
        <family val="2"/>
      </rPr>
      <t>Ed,d</t>
    </r>
  </si>
  <si>
    <t>dessin section</t>
  </si>
  <si>
    <t>V1</t>
  </si>
  <si>
    <t>V2</t>
  </si>
  <si>
    <t>effort tranchant</t>
  </si>
  <si>
    <t>appuis</t>
  </si>
  <si>
    <t>g</t>
  </si>
  <si>
    <t>cadres</t>
  </si>
  <si>
    <t>section</t>
  </si>
  <si>
    <r>
      <t>k</t>
    </r>
    <r>
      <rPr>
        <vertAlign val="subscript"/>
        <sz val="9"/>
        <rFont val="Symbol"/>
        <family val="1"/>
      </rPr>
      <t>s</t>
    </r>
    <r>
      <rPr>
        <vertAlign val="subscript"/>
        <sz val="9"/>
        <rFont val="Arial"/>
        <family val="2"/>
      </rPr>
      <t>n</t>
    </r>
  </si>
  <si>
    <t>= L ?</t>
  </si>
  <si>
    <t>16 aout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</si>
</sst>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#,##0.0"/>
    <numFmt numFmtId="171" formatCode="#,##0.000"/>
  </numFmts>
  <fonts count="21">
    <font>
      <sz val="9"/>
      <name val="Arial"/>
      <family val="0"/>
    </font>
    <font>
      <sz val="8"/>
      <name val="Arial"/>
      <family val="0"/>
    </font>
    <font>
      <sz val="9"/>
      <name val="Symbol"/>
      <family val="1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 Narrow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9"/>
      <name val="Helv"/>
      <family val="0"/>
    </font>
    <font>
      <sz val="8.5"/>
      <name val="Arial"/>
      <family val="2"/>
    </font>
    <font>
      <vertAlign val="subscript"/>
      <sz val="8.5"/>
      <name val="Arial"/>
      <family val="2"/>
    </font>
    <font>
      <vertAlign val="superscript"/>
      <sz val="8.5"/>
      <name val="Arial"/>
      <family val="2"/>
    </font>
    <font>
      <sz val="9"/>
      <color indexed="12"/>
      <name val="Arial"/>
      <family val="0"/>
    </font>
    <font>
      <sz val="8.25"/>
      <name val="Arial"/>
      <family val="2"/>
    </font>
    <font>
      <vertAlign val="subscript"/>
      <sz val="9"/>
      <name val="Symbol"/>
      <family val="1"/>
    </font>
    <font>
      <sz val="8.75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hair"/>
    </border>
    <border>
      <left style="thin"/>
      <right style="thick"/>
      <top style="thick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 style="thick"/>
    </border>
    <border>
      <left style="thin"/>
      <right style="thick"/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right"/>
    </xf>
    <xf numFmtId="168" fontId="0" fillId="0" borderId="6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168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67" fontId="0" fillId="0" borderId="6" xfId="0" applyNumberFormat="1" applyBorder="1" applyAlignment="1">
      <alignment horizontal="center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 quotePrefix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2" fontId="0" fillId="4" borderId="23" xfId="0" applyNumberForma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16" fillId="0" borderId="0" xfId="0" applyFont="1" applyAlignment="1">
      <alignment horizontal="left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0" xfId="0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Aires des armatures transversales A</a:t>
            </a:r>
            <a:r>
              <a:rPr lang="en-US" cap="none" sz="850" b="0" i="0" u="none" baseline="-25000">
                <a:latin typeface="Arial"/>
                <a:ea typeface="Arial"/>
                <a:cs typeface="Arial"/>
              </a:rPr>
              <a:t>sw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/s en cm</a:t>
            </a:r>
            <a:r>
              <a:rPr lang="en-US" cap="none" sz="850" b="0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/m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575"/>
          <c:w val="0.81625"/>
          <c:h val="0.8922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Feuil1!$AO$29</c:f>
              <c:strCache>
                <c:ptCount val="1"/>
                <c:pt idx="0">
                  <c:v>Eff. Tr.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Feuil1!$AN$30:$AN$102</c:f>
              <c:numCache/>
            </c:numRef>
          </c:xVal>
          <c:yVal>
            <c:numRef>
              <c:f>Feuil1!$AO$30:$AO$102</c:f>
              <c:numCache/>
            </c:numRef>
          </c:yVal>
          <c:smooth val="0"/>
        </c:ser>
        <c:ser>
          <c:idx val="1"/>
          <c:order val="1"/>
          <c:tx>
            <c:strRef>
              <c:f>Feuil1!$AP$29</c:f>
              <c:strCache>
                <c:ptCount val="1"/>
                <c:pt idx="0">
                  <c:v>Repr.Bét.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Feuil1!$AN$30:$AN$102</c:f>
              <c:numCache/>
            </c:numRef>
          </c:xVal>
          <c:yVal>
            <c:numRef>
              <c:f>Feuil1!$AP$30:$AP$102</c:f>
              <c:numCache/>
            </c:numRef>
          </c:yVal>
          <c:smooth val="0"/>
        </c:ser>
        <c:ser>
          <c:idx val="2"/>
          <c:order val="2"/>
          <c:tx>
            <c:strRef>
              <c:f>Feuil1!$AQ$29</c:f>
              <c:strCache>
                <c:ptCount val="1"/>
                <c:pt idx="0">
                  <c:v>Mini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Feuil1!$AN$30:$AN$102</c:f>
              <c:numCache/>
            </c:numRef>
          </c:xVal>
          <c:yVal>
            <c:numRef>
              <c:f>Feuil1!$AQ$30:$AQ$102</c:f>
              <c:numCache/>
            </c:numRef>
          </c:yVal>
          <c:smooth val="0"/>
        </c:ser>
        <c:ser>
          <c:idx val="3"/>
          <c:order val="3"/>
          <c:tx>
            <c:strRef>
              <c:f>Feuil1!$AR$29</c:f>
              <c:strCache>
                <c:ptCount val="1"/>
                <c:pt idx="0">
                  <c:v>appuis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Feuil1!$AN$30:$AN$102</c:f>
              <c:numCache/>
            </c:numRef>
          </c:xVal>
          <c:yVal>
            <c:numRef>
              <c:f>Feuil1!$AR$30:$AR$102</c:f>
              <c:numCache/>
            </c:numRef>
          </c:yVal>
          <c:smooth val="0"/>
        </c:ser>
        <c:axId val="16595933"/>
        <c:axId val="15145670"/>
      </c:scatterChart>
      <c:valAx>
        <c:axId val="165959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145670"/>
        <c:crosses val="autoZero"/>
        <c:crossBetween val="midCat"/>
        <c:dispUnits/>
        <c:majorUnit val="1"/>
      </c:valAx>
      <c:valAx>
        <c:axId val="1514567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65959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4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Effort tranchant</a:t>
            </a:r>
          </a:p>
        </c:rich>
      </c:tx>
      <c:layout>
        <c:manualLayout>
          <c:xMode val="factor"/>
          <c:yMode val="factor"/>
          <c:x val="-0.001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225"/>
          <c:w val="0.89025"/>
          <c:h val="0.9477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Feuil1!$BB$30</c:f>
              <c:strCache>
                <c:ptCount val="1"/>
                <c:pt idx="0">
                  <c:v>V1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Feuil1!$BA$31:$BA$41</c:f>
              <c:numCache/>
            </c:numRef>
          </c:xVal>
          <c:yVal>
            <c:numRef>
              <c:f>Feuil1!$BB$31:$BB$41</c:f>
              <c:numCache/>
            </c:numRef>
          </c:yVal>
          <c:smooth val="0"/>
        </c:ser>
        <c:ser>
          <c:idx val="1"/>
          <c:order val="1"/>
          <c:tx>
            <c:strRef>
              <c:f>Feuil1!$BC$30</c:f>
              <c:strCache>
                <c:ptCount val="1"/>
                <c:pt idx="0">
                  <c:v>V2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Feuil1!$BA$31:$BA$41</c:f>
              <c:numCache/>
            </c:numRef>
          </c:xVal>
          <c:yVal>
            <c:numRef>
              <c:f>Feuil1!$BC$31:$BC$41</c:f>
              <c:numCache/>
            </c:numRef>
          </c:yVal>
          <c:smooth val="0"/>
        </c:ser>
        <c:ser>
          <c:idx val="2"/>
          <c:order val="2"/>
          <c:tx>
            <c:strRef>
              <c:f>Feuil1!$BD$30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Feuil1!$BA$31:$BA$41</c:f>
              <c:numCache/>
            </c:numRef>
          </c:xVal>
          <c:yVal>
            <c:numRef>
              <c:f>Feuil1!$BD$31:$BD$41</c:f>
              <c:numCache/>
            </c:numRef>
          </c:yVal>
          <c:smooth val="0"/>
        </c:ser>
        <c:ser>
          <c:idx val="3"/>
          <c:order val="3"/>
          <c:tx>
            <c:strRef>
              <c:f>Feuil1!$BE$30</c:f>
              <c:strCache>
                <c:ptCount val="1"/>
                <c:pt idx="0">
                  <c:v>appuis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Feuil1!$BA$31:$BA$41</c:f>
              <c:numCache/>
            </c:numRef>
          </c:xVal>
          <c:yVal>
            <c:numRef>
              <c:f>Feuil1!$BE$31:$BE$41</c:f>
              <c:numCache/>
            </c:numRef>
          </c:yVal>
          <c:smooth val="0"/>
        </c:ser>
        <c:axId val="2093303"/>
        <c:axId val="18839728"/>
      </c:scatterChart>
      <c:valAx>
        <c:axId val="20933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39728"/>
        <c:crosses val="autoZero"/>
        <c:crossBetween val="midCat"/>
        <c:dispUnits/>
        <c:majorUnit val="1"/>
      </c:valAx>
      <c:valAx>
        <c:axId val="18839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33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4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Feuil1!$AV$62</c:f>
              <c:strCache>
                <c:ptCount val="1"/>
                <c:pt idx="0">
                  <c:v>section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Feuil1!$AU$63:$AU$113</c:f>
              <c:numCache/>
            </c:numRef>
          </c:xVal>
          <c:yVal>
            <c:numRef>
              <c:f>Feuil1!$AV$63:$AV$113</c:f>
              <c:numCache/>
            </c:numRef>
          </c:yVal>
          <c:smooth val="0"/>
        </c:ser>
        <c:ser>
          <c:idx val="1"/>
          <c:order val="1"/>
          <c:tx>
            <c:strRef>
              <c:f>Feuil1!$AW$62</c:f>
              <c:strCache>
                <c:ptCount val="1"/>
                <c:pt idx="0">
                  <c:v>cadres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Feuil1!$AU$63:$AU$113</c:f>
              <c:numCache/>
            </c:numRef>
          </c:xVal>
          <c:yVal>
            <c:numRef>
              <c:f>Feuil1!$AW$63:$AW$113</c:f>
              <c:numCache/>
            </c:numRef>
          </c:yVal>
          <c:smooth val="0"/>
        </c:ser>
        <c:axId val="35339825"/>
        <c:axId val="49622970"/>
      </c:scatterChart>
      <c:val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22970"/>
        <c:crosses val="autoZero"/>
        <c:crossBetween val="midCat"/>
        <c:dispUnits/>
      </c:valAx>
      <c:valAx>
        <c:axId val="4962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39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Courbes des moments en MNm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Feuil1!$AV$29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Feuil1!$AU$30:$AU$53</c:f>
              <c:numCache/>
            </c:numRef>
          </c:xVal>
          <c:yVal>
            <c:numRef>
              <c:f>Feuil1!$AV$30:$AV$53</c:f>
              <c:numCache/>
            </c:numRef>
          </c:yVal>
          <c:smooth val="0"/>
        </c:ser>
        <c:ser>
          <c:idx val="1"/>
          <c:order val="1"/>
          <c:tx>
            <c:strRef>
              <c:f>Feuil1!$AW$29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Feuil1!$AU$30:$AU$53</c:f>
              <c:numCache/>
            </c:numRef>
          </c:xVal>
          <c:yVal>
            <c:numRef>
              <c:f>Feuil1!$AW$30:$AW$53</c:f>
              <c:numCache/>
            </c:numRef>
          </c:yVal>
          <c:smooth val="0"/>
        </c:ser>
        <c:ser>
          <c:idx val="2"/>
          <c:order val="2"/>
          <c:tx>
            <c:strRef>
              <c:f>Feuil1!$AX$29</c:f>
              <c:strCache>
                <c:ptCount val="1"/>
                <c:pt idx="0">
                  <c:v>appuis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Feuil1!$AU$30:$AU$53</c:f>
              <c:numCache/>
            </c:numRef>
          </c:xVal>
          <c:yVal>
            <c:numRef>
              <c:f>Feuil1!$AX$30:$AX$53</c:f>
              <c:numCache/>
            </c:numRef>
          </c:yVal>
          <c:smooth val="0"/>
        </c:ser>
        <c:axId val="43953547"/>
        <c:axId val="60037604"/>
      </c:scatterChart>
      <c:valAx>
        <c:axId val="439535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037604"/>
        <c:crosses val="autoZero"/>
        <c:crossBetween val="midCat"/>
        <c:dispUnits/>
        <c:majorUnit val="1"/>
      </c:valAx>
      <c:valAx>
        <c:axId val="60037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535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47625</xdr:rowOff>
    </xdr:from>
    <xdr:to>
      <xdr:col>12</xdr:col>
      <xdr:colOff>266700</xdr:colOff>
      <xdr:row>60</xdr:row>
      <xdr:rowOff>57150</xdr:rowOff>
    </xdr:to>
    <xdr:graphicFrame>
      <xdr:nvGraphicFramePr>
        <xdr:cNvPr id="1" name="Chart 395"/>
        <xdr:cNvGraphicFramePr/>
      </xdr:nvGraphicFramePr>
      <xdr:xfrm>
        <a:off x="85725" y="5467350"/>
        <a:ext cx="63722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105</xdr:row>
      <xdr:rowOff>0</xdr:rowOff>
    </xdr:from>
    <xdr:to>
      <xdr:col>12</xdr:col>
      <xdr:colOff>304800</xdr:colOff>
      <xdr:row>125</xdr:row>
      <xdr:rowOff>142875</xdr:rowOff>
    </xdr:to>
    <xdr:graphicFrame>
      <xdr:nvGraphicFramePr>
        <xdr:cNvPr id="2" name="Chart 429"/>
        <xdr:cNvGraphicFramePr/>
      </xdr:nvGraphicFramePr>
      <xdr:xfrm>
        <a:off x="114300" y="17021175"/>
        <a:ext cx="63817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171450</xdr:colOff>
      <xdr:row>62</xdr:row>
      <xdr:rowOff>28575</xdr:rowOff>
    </xdr:from>
    <xdr:to>
      <xdr:col>26</xdr:col>
      <xdr:colOff>238125</xdr:colOff>
      <xdr:row>81</xdr:row>
      <xdr:rowOff>66675</xdr:rowOff>
    </xdr:to>
    <xdr:graphicFrame>
      <xdr:nvGraphicFramePr>
        <xdr:cNvPr id="3" name="Chart 430"/>
        <xdr:cNvGraphicFramePr/>
      </xdr:nvGraphicFramePr>
      <xdr:xfrm>
        <a:off x="6781800" y="10163175"/>
        <a:ext cx="640080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83</xdr:row>
      <xdr:rowOff>123825</xdr:rowOff>
    </xdr:from>
    <xdr:to>
      <xdr:col>12</xdr:col>
      <xdr:colOff>304800</xdr:colOff>
      <xdr:row>104</xdr:row>
      <xdr:rowOff>57150</xdr:rowOff>
    </xdr:to>
    <xdr:graphicFrame>
      <xdr:nvGraphicFramePr>
        <xdr:cNvPr id="4" name="Chart 435"/>
        <xdr:cNvGraphicFramePr/>
      </xdr:nvGraphicFramePr>
      <xdr:xfrm>
        <a:off x="133350" y="13792200"/>
        <a:ext cx="63627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U119"/>
  <sheetViews>
    <sheetView showGridLines="0" tabSelected="1" view="pageBreakPreview" zoomScaleSheetLayoutView="100" workbookViewId="0" topLeftCell="A1">
      <selection activeCell="G6" sqref="G6"/>
    </sheetView>
  </sheetViews>
  <sheetFormatPr defaultColWidth="11.421875" defaultRowHeight="12"/>
  <cols>
    <col min="1" max="1" width="11.00390625" style="3" customWidth="1"/>
    <col min="2" max="2" width="7.421875" style="1" customWidth="1"/>
    <col min="3" max="3" width="8.140625" style="2" customWidth="1"/>
    <col min="4" max="4" width="7.140625" style="2" customWidth="1"/>
    <col min="5" max="5" width="12.28125" style="1" customWidth="1"/>
    <col min="6" max="6" width="7.57421875" style="1" customWidth="1"/>
    <col min="7" max="8" width="6.28125" style="1" customWidth="1"/>
    <col min="9" max="9" width="7.8515625" style="1" customWidth="1"/>
    <col min="10" max="13" width="6.28125" style="1" customWidth="1"/>
    <col min="14" max="14" width="8.7109375" style="1" customWidth="1"/>
    <col min="15" max="15" width="6.140625" style="1" customWidth="1"/>
    <col min="16" max="31" width="7.28125" style="1" customWidth="1"/>
    <col min="32" max="36" width="6.57421875" style="1" customWidth="1"/>
    <col min="37" max="37" width="11.421875" style="1" customWidth="1"/>
    <col min="38" max="45" width="6.8515625" style="1" customWidth="1"/>
    <col min="46" max="53" width="5.8515625" style="1" customWidth="1"/>
    <col min="54" max="74" width="6.28125" style="1" customWidth="1"/>
    <col min="75" max="16384" width="11.421875" style="1" customWidth="1"/>
  </cols>
  <sheetData>
    <row r="1" spans="1:45" ht="12">
      <c r="A1" s="15" t="s">
        <v>159</v>
      </c>
      <c r="K1" s="32" t="s">
        <v>94</v>
      </c>
      <c r="AL1" s="57" t="s">
        <v>130</v>
      </c>
      <c r="AM1" s="58"/>
      <c r="AN1" s="58"/>
      <c r="AO1" s="58"/>
      <c r="AP1" s="58"/>
      <c r="AQ1" s="58"/>
      <c r="AR1" s="58"/>
      <c r="AS1" s="58"/>
    </row>
    <row r="2" spans="11:45" ht="12.75" thickBot="1">
      <c r="K2" s="33" t="s">
        <v>173</v>
      </c>
      <c r="N2" s="15" t="str">
        <f>"Armatures d'effort tranchant côté gauche jusqu'à l'abscisse : "&amp;ROUND(B72,3)&amp;" m"</f>
        <v>Armatures d'effort tranchant côté gauche jusqu'à l'abscisse : 6 m</v>
      </c>
      <c r="AL2" s="59">
        <v>1</v>
      </c>
      <c r="AM2" s="59">
        <v>2</v>
      </c>
      <c r="AN2" s="59">
        <v>3</v>
      </c>
      <c r="AO2" s="59">
        <v>4</v>
      </c>
      <c r="AP2" s="59">
        <v>5</v>
      </c>
      <c r="AQ2" s="59">
        <v>6</v>
      </c>
      <c r="AR2" s="59">
        <v>7</v>
      </c>
      <c r="AS2" s="59">
        <v>8</v>
      </c>
    </row>
    <row r="3" spans="1:45" ht="14.25" thickTop="1">
      <c r="A3" s="3" t="s">
        <v>0</v>
      </c>
      <c r="B3" s="34">
        <v>10</v>
      </c>
      <c r="C3" s="2" t="s">
        <v>2</v>
      </c>
      <c r="D3" s="2" t="s">
        <v>77</v>
      </c>
      <c r="F3" s="3" t="s">
        <v>20</v>
      </c>
      <c r="G3" s="34">
        <v>25</v>
      </c>
      <c r="H3" s="2" t="s">
        <v>27</v>
      </c>
      <c r="I3" s="2"/>
      <c r="J3" s="2"/>
      <c r="K3" s="32" t="s">
        <v>98</v>
      </c>
      <c r="L3" s="2"/>
      <c r="M3" s="2"/>
      <c r="N3" s="8"/>
      <c r="O3" s="8"/>
      <c r="P3" s="8" t="s">
        <v>37</v>
      </c>
      <c r="Q3" s="8" t="s">
        <v>38</v>
      </c>
      <c r="R3" s="8" t="s">
        <v>39</v>
      </c>
      <c r="S3" s="8" t="s">
        <v>40</v>
      </c>
      <c r="T3" s="8" t="s">
        <v>41</v>
      </c>
      <c r="U3" s="8" t="s">
        <v>67</v>
      </c>
      <c r="V3" s="8" t="s">
        <v>69</v>
      </c>
      <c r="W3" s="8" t="s">
        <v>103</v>
      </c>
      <c r="X3" s="8" t="s">
        <v>105</v>
      </c>
      <c r="Y3" s="8" t="s">
        <v>141</v>
      </c>
      <c r="Z3" s="8" t="s">
        <v>142</v>
      </c>
      <c r="AA3" s="8" t="s">
        <v>0</v>
      </c>
      <c r="AB3" s="8" t="s">
        <v>50</v>
      </c>
      <c r="AC3" s="8" t="s">
        <v>143</v>
      </c>
      <c r="AD3" s="8" t="s">
        <v>144</v>
      </c>
      <c r="AE3" s="8" t="s">
        <v>145</v>
      </c>
      <c r="AF3" s="2" t="s">
        <v>72</v>
      </c>
      <c r="AL3" s="60" t="s">
        <v>20</v>
      </c>
      <c r="AM3" s="60" t="s">
        <v>131</v>
      </c>
      <c r="AN3" s="60" t="s">
        <v>132</v>
      </c>
      <c r="AO3" s="61" t="s">
        <v>133</v>
      </c>
      <c r="AP3" s="61" t="s">
        <v>134</v>
      </c>
      <c r="AQ3" s="61" t="s">
        <v>135</v>
      </c>
      <c r="AR3" s="61" t="s">
        <v>136</v>
      </c>
      <c r="AS3" s="60" t="s">
        <v>137</v>
      </c>
    </row>
    <row r="4" spans="1:45" ht="13.5">
      <c r="A4" s="3" t="s">
        <v>1</v>
      </c>
      <c r="B4" s="35">
        <v>200</v>
      </c>
      <c r="C4" s="2" t="s">
        <v>3</v>
      </c>
      <c r="D4" s="2" t="s">
        <v>78</v>
      </c>
      <c r="F4" s="3" t="s">
        <v>21</v>
      </c>
      <c r="G4" s="35">
        <v>500</v>
      </c>
      <c r="H4" s="2" t="s">
        <v>27</v>
      </c>
      <c r="I4" s="2"/>
      <c r="J4" s="2"/>
      <c r="K4" s="32" t="s">
        <v>97</v>
      </c>
      <c r="L4" s="2"/>
      <c r="M4" s="2"/>
      <c r="N4" s="8" t="s">
        <v>35</v>
      </c>
      <c r="O4" s="8" t="s">
        <v>2</v>
      </c>
      <c r="P4" s="8">
        <f>MAX($B$9,$B$71*$B$13)</f>
        <v>1</v>
      </c>
      <c r="Q4" s="8">
        <f>P4+$B$71*($B$13+$B$14)</f>
        <v>1.9</v>
      </c>
      <c r="R4" s="8">
        <f aca="true" t="shared" si="0" ref="R4:AE4">MIN($B$72,Q4+$B$71*($B$13+$B$14))</f>
        <v>2.8</v>
      </c>
      <c r="S4" s="8">
        <f t="shared" si="0"/>
        <v>3.6999999999999997</v>
      </c>
      <c r="T4" s="8">
        <f t="shared" si="0"/>
        <v>4.6</v>
      </c>
      <c r="U4" s="8">
        <f t="shared" si="0"/>
        <v>5.5</v>
      </c>
      <c r="V4" s="8">
        <f t="shared" si="0"/>
        <v>6</v>
      </c>
      <c r="W4" s="8">
        <f t="shared" si="0"/>
        <v>6</v>
      </c>
      <c r="X4" s="8">
        <f t="shared" si="0"/>
        <v>6</v>
      </c>
      <c r="Y4" s="8">
        <f t="shared" si="0"/>
        <v>6</v>
      </c>
      <c r="Z4" s="8">
        <f t="shared" si="0"/>
        <v>6</v>
      </c>
      <c r="AA4" s="8">
        <f t="shared" si="0"/>
        <v>6</v>
      </c>
      <c r="AB4" s="8">
        <f t="shared" si="0"/>
        <v>6</v>
      </c>
      <c r="AC4" s="8">
        <f t="shared" si="0"/>
        <v>6</v>
      </c>
      <c r="AD4" s="8">
        <f t="shared" si="0"/>
        <v>6</v>
      </c>
      <c r="AE4" s="8">
        <f t="shared" si="0"/>
        <v>6</v>
      </c>
      <c r="AF4" s="5" t="s">
        <v>55</v>
      </c>
      <c r="AL4" s="62">
        <v>12</v>
      </c>
      <c r="AM4" s="62">
        <v>1.6</v>
      </c>
      <c r="AN4" s="62">
        <v>27</v>
      </c>
      <c r="AO4" s="62">
        <v>3.5</v>
      </c>
      <c r="AP4" s="62">
        <v>1.8</v>
      </c>
      <c r="AQ4" s="62">
        <v>3.5</v>
      </c>
      <c r="AR4" s="62">
        <v>2</v>
      </c>
      <c r="AS4" s="62">
        <v>2</v>
      </c>
    </row>
    <row r="5" spans="1:45" ht="13.5">
      <c r="A5" s="3" t="s">
        <v>4</v>
      </c>
      <c r="B5" s="35">
        <v>1.5</v>
      </c>
      <c r="C5" s="2" t="s">
        <v>2</v>
      </c>
      <c r="D5" s="2" t="s">
        <v>82</v>
      </c>
      <c r="F5" s="4" t="s">
        <v>22</v>
      </c>
      <c r="G5" s="35">
        <v>1.5</v>
      </c>
      <c r="H5" s="2"/>
      <c r="I5" s="2"/>
      <c r="J5" s="2"/>
      <c r="K5" s="32" t="s">
        <v>95</v>
      </c>
      <c r="L5" s="2"/>
      <c r="M5" s="2"/>
      <c r="N5" s="8" t="s">
        <v>53</v>
      </c>
      <c r="O5" s="8" t="s">
        <v>2</v>
      </c>
      <c r="P5" s="8">
        <f>P4+$B$14*z</f>
        <v>1</v>
      </c>
      <c r="Q5" s="8">
        <f aca="true" t="shared" si="1" ref="Q5:AE5">z*($B$13+$B$14)</f>
        <v>0.9</v>
      </c>
      <c r="R5" s="8">
        <f t="shared" si="1"/>
        <v>0.9</v>
      </c>
      <c r="S5" s="8">
        <f t="shared" si="1"/>
        <v>0.9</v>
      </c>
      <c r="T5" s="8">
        <f t="shared" si="1"/>
        <v>0.9</v>
      </c>
      <c r="U5" s="8">
        <f t="shared" si="1"/>
        <v>0.9</v>
      </c>
      <c r="V5" s="8">
        <f t="shared" si="1"/>
        <v>0.9</v>
      </c>
      <c r="W5" s="8">
        <f t="shared" si="1"/>
        <v>0.9</v>
      </c>
      <c r="X5" s="8">
        <f t="shared" si="1"/>
        <v>0.9</v>
      </c>
      <c r="Y5" s="8">
        <f t="shared" si="1"/>
        <v>0.9</v>
      </c>
      <c r="Z5" s="8">
        <f t="shared" si="1"/>
        <v>0.9</v>
      </c>
      <c r="AA5" s="8">
        <f t="shared" si="1"/>
        <v>0.9</v>
      </c>
      <c r="AB5" s="8">
        <f t="shared" si="1"/>
        <v>0.9</v>
      </c>
      <c r="AC5" s="8">
        <f t="shared" si="1"/>
        <v>0.9</v>
      </c>
      <c r="AD5" s="8">
        <f t="shared" si="1"/>
        <v>0.9</v>
      </c>
      <c r="AE5" s="8">
        <f t="shared" si="1"/>
        <v>0.9</v>
      </c>
      <c r="AF5" s="5" t="s">
        <v>56</v>
      </c>
      <c r="AL5" s="63">
        <v>16</v>
      </c>
      <c r="AM5" s="63">
        <v>1.9</v>
      </c>
      <c r="AN5" s="63">
        <v>29</v>
      </c>
      <c r="AO5" s="63">
        <v>3.5</v>
      </c>
      <c r="AP5" s="63">
        <v>1.9</v>
      </c>
      <c r="AQ5" s="63">
        <v>3.5</v>
      </c>
      <c r="AR5" s="63">
        <v>2</v>
      </c>
      <c r="AS5" s="63">
        <v>2</v>
      </c>
    </row>
    <row r="6" spans="1:45" ht="14.25" thickBot="1">
      <c r="A6" s="3" t="s">
        <v>5</v>
      </c>
      <c r="B6" s="35">
        <v>1.1</v>
      </c>
      <c r="C6" s="2" t="s">
        <v>2</v>
      </c>
      <c r="D6" s="2" t="s">
        <v>79</v>
      </c>
      <c r="F6" s="4" t="s">
        <v>23</v>
      </c>
      <c r="G6" s="37">
        <v>1.15</v>
      </c>
      <c r="H6" s="2"/>
      <c r="I6" s="2"/>
      <c r="J6" s="2"/>
      <c r="K6" s="32" t="s">
        <v>96</v>
      </c>
      <c r="L6" s="2"/>
      <c r="M6" s="2"/>
      <c r="N6" s="8" t="s">
        <v>36</v>
      </c>
      <c r="O6" s="8" t="s">
        <v>8</v>
      </c>
      <c r="P6" s="8">
        <f aca="true" t="shared" si="2" ref="P6:AE6">$B$69-p*P4/1000</f>
        <v>1</v>
      </c>
      <c r="Q6" s="8">
        <f t="shared" si="2"/>
        <v>0.82</v>
      </c>
      <c r="R6" s="8">
        <f t="shared" si="2"/>
        <v>0.6399999999999999</v>
      </c>
      <c r="S6" s="8">
        <f t="shared" si="2"/>
        <v>0.45999999999999996</v>
      </c>
      <c r="T6" s="8">
        <f t="shared" si="2"/>
        <v>0.28</v>
      </c>
      <c r="U6" s="8">
        <f t="shared" si="2"/>
        <v>0.09999999999999987</v>
      </c>
      <c r="V6" s="8">
        <f t="shared" si="2"/>
        <v>0</v>
      </c>
      <c r="W6" s="8">
        <f t="shared" si="2"/>
        <v>0</v>
      </c>
      <c r="X6" s="8">
        <f t="shared" si="2"/>
        <v>0</v>
      </c>
      <c r="Y6" s="8">
        <f t="shared" si="2"/>
        <v>0</v>
      </c>
      <c r="Z6" s="8">
        <f t="shared" si="2"/>
        <v>0</v>
      </c>
      <c r="AA6" s="8">
        <f t="shared" si="2"/>
        <v>0</v>
      </c>
      <c r="AB6" s="8">
        <f t="shared" si="2"/>
        <v>0</v>
      </c>
      <c r="AC6" s="8">
        <f t="shared" si="2"/>
        <v>0</v>
      </c>
      <c r="AD6" s="8">
        <f t="shared" si="2"/>
        <v>0</v>
      </c>
      <c r="AE6" s="8">
        <f t="shared" si="2"/>
        <v>0</v>
      </c>
      <c r="AF6" s="5" t="s">
        <v>54</v>
      </c>
      <c r="AL6" s="63">
        <v>20</v>
      </c>
      <c r="AM6" s="63">
        <v>2.2</v>
      </c>
      <c r="AN6" s="63">
        <v>30</v>
      </c>
      <c r="AO6" s="63">
        <v>3.5</v>
      </c>
      <c r="AP6" s="63">
        <v>2</v>
      </c>
      <c r="AQ6" s="63">
        <v>3.5</v>
      </c>
      <c r="AR6" s="63">
        <v>2</v>
      </c>
      <c r="AS6" s="63">
        <v>2</v>
      </c>
    </row>
    <row r="7" spans="1:45" ht="14.25" thickTop="1">
      <c r="A7" s="3" t="s">
        <v>14</v>
      </c>
      <c r="B7" s="35">
        <v>0.3</v>
      </c>
      <c r="C7" s="2" t="s">
        <v>2</v>
      </c>
      <c r="D7" s="2" t="s">
        <v>80</v>
      </c>
      <c r="N7" s="8" t="s">
        <v>57</v>
      </c>
      <c r="O7" s="8" t="s">
        <v>13</v>
      </c>
      <c r="P7" s="10">
        <f aca="true" t="shared" si="3" ref="P7:AE7">P6/z/$B$66/($B$13+$B$14)/SIN($B$79)*10000</f>
        <v>25.555555555555557</v>
      </c>
      <c r="Q7" s="10">
        <f t="shared" si="3"/>
        <v>20.955555555555552</v>
      </c>
      <c r="R7" s="10">
        <f t="shared" si="3"/>
        <v>16.35555555555555</v>
      </c>
      <c r="S7" s="10">
        <f t="shared" si="3"/>
        <v>11.755555555555553</v>
      </c>
      <c r="T7" s="10">
        <f t="shared" si="3"/>
        <v>7.155555555555555</v>
      </c>
      <c r="U7" s="10">
        <f t="shared" si="3"/>
        <v>2.555555555555552</v>
      </c>
      <c r="V7" s="10">
        <f t="shared" si="3"/>
        <v>0</v>
      </c>
      <c r="W7" s="10">
        <f t="shared" si="3"/>
        <v>0</v>
      </c>
      <c r="X7" s="10">
        <f t="shared" si="3"/>
        <v>0</v>
      </c>
      <c r="Y7" s="10">
        <f t="shared" si="3"/>
        <v>0</v>
      </c>
      <c r="Z7" s="10">
        <f t="shared" si="3"/>
        <v>0</v>
      </c>
      <c r="AA7" s="10">
        <f t="shared" si="3"/>
        <v>0</v>
      </c>
      <c r="AB7" s="10">
        <f t="shared" si="3"/>
        <v>0</v>
      </c>
      <c r="AC7" s="10">
        <f t="shared" si="3"/>
        <v>0</v>
      </c>
      <c r="AD7" s="10">
        <f t="shared" si="3"/>
        <v>0</v>
      </c>
      <c r="AE7" s="10">
        <f t="shared" si="3"/>
        <v>0</v>
      </c>
      <c r="AL7" s="63">
        <v>25</v>
      </c>
      <c r="AM7" s="63">
        <v>2.6</v>
      </c>
      <c r="AN7" s="63">
        <v>31</v>
      </c>
      <c r="AO7" s="63">
        <v>3.5</v>
      </c>
      <c r="AP7" s="63">
        <v>2.1</v>
      </c>
      <c r="AQ7" s="63">
        <v>3.5</v>
      </c>
      <c r="AR7" s="63">
        <v>2</v>
      </c>
      <c r="AS7" s="63">
        <v>2</v>
      </c>
    </row>
    <row r="8" spans="1:45" ht="13.5">
      <c r="A8" s="3" t="s">
        <v>15</v>
      </c>
      <c r="B8" s="35">
        <v>0.12</v>
      </c>
      <c r="C8" s="2" t="s">
        <v>2</v>
      </c>
      <c r="D8" s="2" t="s">
        <v>81</v>
      </c>
      <c r="N8"/>
      <c r="O8"/>
      <c r="P8"/>
      <c r="Q8"/>
      <c r="R8"/>
      <c r="S8"/>
      <c r="T8"/>
      <c r="U8"/>
      <c r="V8"/>
      <c r="AF8"/>
      <c r="AG8"/>
      <c r="AH8"/>
      <c r="AL8" s="63">
        <v>30</v>
      </c>
      <c r="AM8" s="63">
        <v>2.9</v>
      </c>
      <c r="AN8" s="63">
        <v>33</v>
      </c>
      <c r="AO8" s="63">
        <v>3.5</v>
      </c>
      <c r="AP8" s="63">
        <v>2.2</v>
      </c>
      <c r="AQ8" s="63">
        <v>3.5</v>
      </c>
      <c r="AR8" s="63">
        <v>2</v>
      </c>
      <c r="AS8" s="63">
        <v>2</v>
      </c>
    </row>
    <row r="9" spans="1:45" ht="12">
      <c r="A9" s="3" t="s">
        <v>6</v>
      </c>
      <c r="B9" s="35">
        <v>1</v>
      </c>
      <c r="C9" s="2" t="s">
        <v>2</v>
      </c>
      <c r="D9" s="2" t="s">
        <v>83</v>
      </c>
      <c r="N9" s="15" t="str">
        <f>"Armatures de reprise de bétonnage côté gauche  jusqu'à l'abscisse : "&amp;ROUND(B72,3)&amp;" m"</f>
        <v>Armatures de reprise de bétonnage côté gauche  jusqu'à l'abscisse : 6 m</v>
      </c>
      <c r="AG9"/>
      <c r="AH9"/>
      <c r="AL9" s="64">
        <v>35</v>
      </c>
      <c r="AM9" s="63">
        <v>3.2</v>
      </c>
      <c r="AN9" s="63">
        <v>34</v>
      </c>
      <c r="AO9" s="63">
        <v>3.5</v>
      </c>
      <c r="AP9" s="63">
        <v>2.25</v>
      </c>
      <c r="AQ9" s="63">
        <v>3.5</v>
      </c>
      <c r="AR9" s="63">
        <v>2</v>
      </c>
      <c r="AS9" s="63">
        <v>2</v>
      </c>
    </row>
    <row r="10" spans="1:45" ht="13.5">
      <c r="A10" s="6" t="s">
        <v>7</v>
      </c>
      <c r="B10" s="36">
        <v>1</v>
      </c>
      <c r="C10" s="7" t="s">
        <v>2</v>
      </c>
      <c r="D10" s="2" t="s">
        <v>84</v>
      </c>
      <c r="P10" s="24" t="str">
        <f>P3&amp;"'"</f>
        <v>A'</v>
      </c>
      <c r="Q10" s="24" t="str">
        <f aca="true" t="shared" si="4" ref="Q10:AE10">Q3&amp;"'"</f>
        <v>B'</v>
      </c>
      <c r="R10" s="24" t="str">
        <f t="shared" si="4"/>
        <v>C'</v>
      </c>
      <c r="S10" s="24" t="str">
        <f t="shared" si="4"/>
        <v>D'</v>
      </c>
      <c r="T10" s="24" t="str">
        <f t="shared" si="4"/>
        <v>E'</v>
      </c>
      <c r="U10" s="24" t="str">
        <f t="shared" si="4"/>
        <v>F'</v>
      </c>
      <c r="V10" s="24" t="str">
        <f t="shared" si="4"/>
        <v>G'</v>
      </c>
      <c r="W10" s="24" t="str">
        <f t="shared" si="4"/>
        <v>H'</v>
      </c>
      <c r="X10" s="24" t="str">
        <f t="shared" si="4"/>
        <v>I'</v>
      </c>
      <c r="Y10" s="24" t="str">
        <f t="shared" si="4"/>
        <v>J'</v>
      </c>
      <c r="Z10" s="24" t="str">
        <f t="shared" si="4"/>
        <v>K'</v>
      </c>
      <c r="AA10" s="24" t="str">
        <f t="shared" si="4"/>
        <v>L'</v>
      </c>
      <c r="AB10" s="24" t="str">
        <f t="shared" si="4"/>
        <v>M'</v>
      </c>
      <c r="AC10" s="24" t="str">
        <f t="shared" si="4"/>
        <v>N'</v>
      </c>
      <c r="AD10" s="24" t="str">
        <f t="shared" si="4"/>
        <v>O'</v>
      </c>
      <c r="AE10" s="24" t="str">
        <f t="shared" si="4"/>
        <v>P'</v>
      </c>
      <c r="AF10" s="2" t="s">
        <v>73</v>
      </c>
      <c r="AH10"/>
      <c r="AL10" s="64">
        <v>40</v>
      </c>
      <c r="AM10" s="63">
        <v>3.5</v>
      </c>
      <c r="AN10" s="63">
        <v>35</v>
      </c>
      <c r="AO10" s="63">
        <v>3.5</v>
      </c>
      <c r="AP10" s="63">
        <v>2.3</v>
      </c>
      <c r="AQ10" s="63">
        <v>3.5</v>
      </c>
      <c r="AR10" s="63">
        <v>2</v>
      </c>
      <c r="AS10" s="63">
        <v>2</v>
      </c>
    </row>
    <row r="11" spans="1:45" ht="13.5">
      <c r="A11" s="6" t="s">
        <v>30</v>
      </c>
      <c r="B11" s="35">
        <v>6</v>
      </c>
      <c r="C11" s="7"/>
      <c r="D11" s="7" t="s">
        <v>99</v>
      </c>
      <c r="E11" s="3"/>
      <c r="G11" s="29" t="str">
        <f>IF(B82&gt;B81,"pour info : l'espacement maximal est plus","""")</f>
        <v>pour info : l'espacement maximal est plus</v>
      </c>
      <c r="H11" s="2"/>
      <c r="I11" s="2"/>
      <c r="J11" s="2"/>
      <c r="K11" s="2"/>
      <c r="L11" s="2"/>
      <c r="M11" s="2"/>
      <c r="N11" s="8" t="s">
        <v>35</v>
      </c>
      <c r="O11" s="8" t="s">
        <v>2</v>
      </c>
      <c r="P11" s="8">
        <f>P5/2</f>
        <v>0.5</v>
      </c>
      <c r="Q11" s="8">
        <f aca="true" t="shared" si="5" ref="Q11:AE11">MIN($I$66,P11+$B$71*($B$13+$B$14))</f>
        <v>1.4</v>
      </c>
      <c r="R11" s="8">
        <f t="shared" si="5"/>
        <v>2.3</v>
      </c>
      <c r="S11" s="8">
        <f t="shared" si="5"/>
        <v>3.1999999999999997</v>
      </c>
      <c r="T11" s="8">
        <f t="shared" si="5"/>
        <v>4.1</v>
      </c>
      <c r="U11" s="8">
        <f t="shared" si="5"/>
        <v>5</v>
      </c>
      <c r="V11" s="8">
        <f t="shared" si="5"/>
        <v>5.55</v>
      </c>
      <c r="W11" s="8">
        <f t="shared" si="5"/>
        <v>5.55</v>
      </c>
      <c r="X11" s="8">
        <f t="shared" si="5"/>
        <v>5.55</v>
      </c>
      <c r="Y11" s="8">
        <f t="shared" si="5"/>
        <v>5.55</v>
      </c>
      <c r="Z11" s="8">
        <f t="shared" si="5"/>
        <v>5.55</v>
      </c>
      <c r="AA11" s="8">
        <f t="shared" si="5"/>
        <v>5.55</v>
      </c>
      <c r="AB11" s="8">
        <f t="shared" si="5"/>
        <v>5.55</v>
      </c>
      <c r="AC11" s="8">
        <f t="shared" si="5"/>
        <v>5.55</v>
      </c>
      <c r="AD11" s="8">
        <f t="shared" si="5"/>
        <v>5.55</v>
      </c>
      <c r="AE11" s="8">
        <f t="shared" si="5"/>
        <v>5.55</v>
      </c>
      <c r="AF11" s="5" t="s">
        <v>55</v>
      </c>
      <c r="AL11" s="63">
        <v>45</v>
      </c>
      <c r="AM11" s="63">
        <v>3.8</v>
      </c>
      <c r="AN11" s="63">
        <v>36</v>
      </c>
      <c r="AO11" s="63">
        <v>3.5</v>
      </c>
      <c r="AP11" s="63">
        <v>2.4</v>
      </c>
      <c r="AQ11" s="63">
        <v>3.5</v>
      </c>
      <c r="AR11" s="63">
        <v>2</v>
      </c>
      <c r="AS11" s="63">
        <v>2</v>
      </c>
    </row>
    <row r="12" spans="1:45" ht="13.5">
      <c r="A12" s="6" t="s">
        <v>31</v>
      </c>
      <c r="B12" s="35">
        <v>8</v>
      </c>
      <c r="C12" s="7" t="s">
        <v>33</v>
      </c>
      <c r="D12" s="7" t="s">
        <v>100</v>
      </c>
      <c r="E12" s="3"/>
      <c r="H12" s="29" t="str">
        <f>IF(B82&gt;B81,"discriminant que le % minimal","")</f>
        <v>discriminant que le % minimal</v>
      </c>
      <c r="L12" s="2"/>
      <c r="M12" s="2"/>
      <c r="N12" s="8" t="s">
        <v>36</v>
      </c>
      <c r="O12" s="8" t="s">
        <v>8</v>
      </c>
      <c r="P12" s="8">
        <f>$B$69-p/1000*P11</f>
        <v>1.0999999999999999</v>
      </c>
      <c r="Q12" s="8">
        <f aca="true" t="shared" si="6" ref="Q12:AE12">$B$69-$B$4/1000*Q11</f>
        <v>0.9199999999999999</v>
      </c>
      <c r="R12" s="8">
        <f t="shared" si="6"/>
        <v>0.74</v>
      </c>
      <c r="S12" s="8">
        <f t="shared" si="6"/>
        <v>0.5599999999999999</v>
      </c>
      <c r="T12" s="8">
        <f t="shared" si="6"/>
        <v>0.38</v>
      </c>
      <c r="U12" s="8">
        <f t="shared" si="6"/>
        <v>0.19999999999999996</v>
      </c>
      <c r="V12" s="8">
        <f t="shared" si="6"/>
        <v>0.08999999999999986</v>
      </c>
      <c r="W12" s="8">
        <f t="shared" si="6"/>
        <v>0.08999999999999986</v>
      </c>
      <c r="X12" s="8">
        <f t="shared" si="6"/>
        <v>0.08999999999999986</v>
      </c>
      <c r="Y12" s="8">
        <f t="shared" si="6"/>
        <v>0.08999999999999986</v>
      </c>
      <c r="Z12" s="8">
        <f t="shared" si="6"/>
        <v>0.08999999999999986</v>
      </c>
      <c r="AA12" s="8">
        <f t="shared" si="6"/>
        <v>0.08999999999999986</v>
      </c>
      <c r="AB12" s="8">
        <f t="shared" si="6"/>
        <v>0.08999999999999986</v>
      </c>
      <c r="AC12" s="8">
        <f t="shared" si="6"/>
        <v>0.08999999999999986</v>
      </c>
      <c r="AD12" s="8">
        <f t="shared" si="6"/>
        <v>0.08999999999999986</v>
      </c>
      <c r="AE12" s="8">
        <f t="shared" si="6"/>
        <v>0.08999999999999986</v>
      </c>
      <c r="AF12" s="5" t="s">
        <v>54</v>
      </c>
      <c r="AL12" s="63">
        <v>50</v>
      </c>
      <c r="AM12" s="63">
        <v>4.1</v>
      </c>
      <c r="AN12" s="63">
        <v>37</v>
      </c>
      <c r="AO12" s="63">
        <v>3.5</v>
      </c>
      <c r="AP12" s="63">
        <v>2.45</v>
      </c>
      <c r="AQ12" s="63">
        <v>3.5</v>
      </c>
      <c r="AR12" s="63">
        <v>2</v>
      </c>
      <c r="AS12" s="63">
        <v>2</v>
      </c>
    </row>
    <row r="13" spans="1:45" ht="13.5">
      <c r="A13" s="3" t="s">
        <v>10</v>
      </c>
      <c r="B13" s="35">
        <v>1</v>
      </c>
      <c r="D13" s="2" t="s">
        <v>92</v>
      </c>
      <c r="E13" s="3"/>
      <c r="G13" s="2"/>
      <c r="L13" s="2"/>
      <c r="M13" s="2"/>
      <c r="N13" s="8" t="s">
        <v>50</v>
      </c>
      <c r="O13" s="8" t="s">
        <v>51</v>
      </c>
      <c r="P13" s="25">
        <f aca="true" t="shared" si="7" ref="P13:AE13">p*P11*(LL-P11)/2000+(1-P11/LL)*$B$22+P11/LL*$C$22</f>
        <v>-1.4249999999999998</v>
      </c>
      <c r="Q13" s="25">
        <f t="shared" si="7"/>
        <v>-0.516</v>
      </c>
      <c r="R13" s="25">
        <f t="shared" si="7"/>
        <v>0.23099999999999965</v>
      </c>
      <c r="S13" s="25">
        <f t="shared" si="7"/>
        <v>0.8160000000000001</v>
      </c>
      <c r="T13" s="25">
        <f t="shared" si="7"/>
        <v>1.2389999999999999</v>
      </c>
      <c r="U13" s="25">
        <f t="shared" si="7"/>
        <v>1.5</v>
      </c>
      <c r="V13" s="25">
        <f t="shared" si="7"/>
        <v>1.5797499999999998</v>
      </c>
      <c r="W13" s="25">
        <f t="shared" si="7"/>
        <v>1.5797499999999998</v>
      </c>
      <c r="X13" s="25">
        <f t="shared" si="7"/>
        <v>1.5797499999999998</v>
      </c>
      <c r="Y13" s="25">
        <f t="shared" si="7"/>
        <v>1.5797499999999998</v>
      </c>
      <c r="Z13" s="25">
        <f t="shared" si="7"/>
        <v>1.5797499999999998</v>
      </c>
      <c r="AA13" s="25">
        <f t="shared" si="7"/>
        <v>1.5797499999999998</v>
      </c>
      <c r="AB13" s="25">
        <f t="shared" si="7"/>
        <v>1.5797499999999998</v>
      </c>
      <c r="AC13" s="25">
        <f t="shared" si="7"/>
        <v>1.5797499999999998</v>
      </c>
      <c r="AD13" s="25">
        <f t="shared" si="7"/>
        <v>1.5797499999999998</v>
      </c>
      <c r="AE13" s="25">
        <f t="shared" si="7"/>
        <v>1.5797499999999998</v>
      </c>
      <c r="AF13" s="5" t="s">
        <v>59</v>
      </c>
      <c r="AL13" s="63">
        <v>55</v>
      </c>
      <c r="AM13" s="63">
        <v>4.2</v>
      </c>
      <c r="AN13" s="63">
        <v>38</v>
      </c>
      <c r="AO13" s="63">
        <v>3.2</v>
      </c>
      <c r="AP13" s="63">
        <v>2.5</v>
      </c>
      <c r="AQ13" s="63">
        <v>3.1</v>
      </c>
      <c r="AR13" s="63">
        <v>2.2</v>
      </c>
      <c r="AS13" s="63">
        <v>1.75</v>
      </c>
    </row>
    <row r="14" spans="1:45" ht="13.5">
      <c r="A14" s="3" t="s">
        <v>11</v>
      </c>
      <c r="B14" s="35">
        <v>0</v>
      </c>
      <c r="C14" s="17"/>
      <c r="D14" s="31" t="s">
        <v>93</v>
      </c>
      <c r="G14" s="2"/>
      <c r="L14" s="2"/>
      <c r="M14" s="2"/>
      <c r="N14" s="16" t="s">
        <v>2</v>
      </c>
      <c r="O14" s="8"/>
      <c r="P14" s="26">
        <f aca="true" t="shared" si="8" ref="P14:AE14">fik(P13,$B$5,$B$7,$B$8,$B$9,$B$10,$B$64,$B$6,2)</f>
        <v>0.285</v>
      </c>
      <c r="Q14" s="26">
        <f t="shared" si="8"/>
        <v>0.1032</v>
      </c>
      <c r="R14" s="26">
        <f t="shared" si="8"/>
        <v>0.009239999999999986</v>
      </c>
      <c r="S14" s="26">
        <f t="shared" si="8"/>
        <v>0.03264</v>
      </c>
      <c r="T14" s="26">
        <f t="shared" si="8"/>
        <v>0.04955999999999999</v>
      </c>
      <c r="U14" s="26">
        <f t="shared" si="8"/>
        <v>0.06</v>
      </c>
      <c r="V14" s="26">
        <f t="shared" si="8"/>
        <v>0.06319</v>
      </c>
      <c r="W14" s="26">
        <f t="shared" si="8"/>
        <v>0.06319</v>
      </c>
      <c r="X14" s="26">
        <f t="shared" si="8"/>
        <v>0.06319</v>
      </c>
      <c r="Y14" s="26">
        <f t="shared" si="8"/>
        <v>0.06319</v>
      </c>
      <c r="Z14" s="26">
        <f t="shared" si="8"/>
        <v>0.06319</v>
      </c>
      <c r="AA14" s="26">
        <f t="shared" si="8"/>
        <v>0.06319</v>
      </c>
      <c r="AB14" s="26">
        <f t="shared" si="8"/>
        <v>0.06319</v>
      </c>
      <c r="AC14" s="26">
        <f t="shared" si="8"/>
        <v>0.06319</v>
      </c>
      <c r="AD14" s="26">
        <f t="shared" si="8"/>
        <v>0.06319</v>
      </c>
      <c r="AE14" s="26">
        <f t="shared" si="8"/>
        <v>0.06319</v>
      </c>
      <c r="AF14" s="5" t="s">
        <v>60</v>
      </c>
      <c r="AL14" s="63">
        <v>60</v>
      </c>
      <c r="AM14" s="63">
        <v>4.4</v>
      </c>
      <c r="AN14" s="63">
        <v>39</v>
      </c>
      <c r="AO14" s="63">
        <v>3</v>
      </c>
      <c r="AP14" s="63">
        <v>2.6</v>
      </c>
      <c r="AQ14" s="63">
        <v>2.9</v>
      </c>
      <c r="AR14" s="63">
        <v>2.3</v>
      </c>
      <c r="AS14" s="63">
        <v>1.6</v>
      </c>
    </row>
    <row r="15" spans="2:45" ht="12">
      <c r="B15" s="35" t="s">
        <v>153</v>
      </c>
      <c r="D15" s="2" t="s">
        <v>152</v>
      </c>
      <c r="G15" s="2"/>
      <c r="H15" s="3"/>
      <c r="I15" s="15" t="s">
        <v>43</v>
      </c>
      <c r="L15" s="2"/>
      <c r="M15" s="2"/>
      <c r="N15" s="8" t="s">
        <v>35</v>
      </c>
      <c r="O15" s="8" t="s">
        <v>2</v>
      </c>
      <c r="P15" s="26">
        <f aca="true" t="shared" si="9" ref="P15:AE15">IF(P14&gt;$AM24,$AM23,fik(P13,$B$5,$B$7,$B$8,$B$9,$B$10,$B$64,$B$6,1))</f>
        <v>0.43032018446224996</v>
      </c>
      <c r="Q15" s="26">
        <f t="shared" si="9"/>
        <v>0.13644712743399567</v>
      </c>
      <c r="R15" s="26">
        <f t="shared" si="9"/>
        <v>0.011603859825136537</v>
      </c>
      <c r="S15" s="26">
        <f t="shared" si="9"/>
        <v>0.04148851887952679</v>
      </c>
      <c r="T15" s="26">
        <f t="shared" si="9"/>
        <v>0.0635662681801398</v>
      </c>
      <c r="U15" s="26">
        <f t="shared" si="9"/>
        <v>0.07739606004414257</v>
      </c>
      <c r="V15" s="26">
        <f t="shared" si="9"/>
        <v>0.08165448175635984</v>
      </c>
      <c r="W15" s="26">
        <f t="shared" si="9"/>
        <v>0.08165448175635984</v>
      </c>
      <c r="X15" s="26">
        <f t="shared" si="9"/>
        <v>0.08165448175635984</v>
      </c>
      <c r="Y15" s="26">
        <f t="shared" si="9"/>
        <v>0.08165448175635984</v>
      </c>
      <c r="Z15" s="26">
        <f t="shared" si="9"/>
        <v>0.08165448175635984</v>
      </c>
      <c r="AA15" s="26">
        <f t="shared" si="9"/>
        <v>0.08165448175635984</v>
      </c>
      <c r="AB15" s="26">
        <f t="shared" si="9"/>
        <v>0.08165448175635984</v>
      </c>
      <c r="AC15" s="26">
        <f t="shared" si="9"/>
        <v>0.08165448175635984</v>
      </c>
      <c r="AD15" s="26">
        <f t="shared" si="9"/>
        <v>0.08165448175635984</v>
      </c>
      <c r="AE15" s="26">
        <f t="shared" si="9"/>
        <v>0.08165448175635984</v>
      </c>
      <c r="AF15" s="5" t="s">
        <v>52</v>
      </c>
      <c r="AL15" s="63">
        <v>70</v>
      </c>
      <c r="AM15" s="63">
        <v>4.6</v>
      </c>
      <c r="AN15" s="63">
        <v>41</v>
      </c>
      <c r="AO15" s="63">
        <v>2.8</v>
      </c>
      <c r="AP15" s="63">
        <v>2.7</v>
      </c>
      <c r="AQ15" s="63">
        <v>2.7</v>
      </c>
      <c r="AR15" s="63">
        <v>2.4</v>
      </c>
      <c r="AS15" s="63">
        <v>1.45</v>
      </c>
    </row>
    <row r="16" spans="1:45" ht="14.25" thickBot="1">
      <c r="A16" s="40" t="s">
        <v>70</v>
      </c>
      <c r="B16" s="39" t="s">
        <v>46</v>
      </c>
      <c r="D16" s="2" t="s">
        <v>102</v>
      </c>
      <c r="H16" s="3"/>
      <c r="I16" s="8"/>
      <c r="J16" s="8" t="s">
        <v>48</v>
      </c>
      <c r="K16" s="16" t="s">
        <v>2</v>
      </c>
      <c r="N16" s="8"/>
      <c r="O16" s="8"/>
      <c r="P16" s="26" t="str">
        <f aca="true" t="shared" si="10" ref="P16:W16">IF(P13&lt;0,"âme",IF(P15&lt;$B$8,"table","âme"))</f>
        <v>âme</v>
      </c>
      <c r="Q16" s="26" t="str">
        <f t="shared" si="10"/>
        <v>âme</v>
      </c>
      <c r="R16" s="26" t="str">
        <f t="shared" si="10"/>
        <v>table</v>
      </c>
      <c r="S16" s="26" t="str">
        <f t="shared" si="10"/>
        <v>table</v>
      </c>
      <c r="T16" s="26" t="str">
        <f t="shared" si="10"/>
        <v>table</v>
      </c>
      <c r="U16" s="26" t="str">
        <f t="shared" si="10"/>
        <v>table</v>
      </c>
      <c r="V16" s="26" t="str">
        <f t="shared" si="10"/>
        <v>table</v>
      </c>
      <c r="W16" s="26" t="str">
        <f t="shared" si="10"/>
        <v>table</v>
      </c>
      <c r="X16" s="26" t="str">
        <f aca="true" t="shared" si="11" ref="X16:AE16">IF(X13&lt;0,"âme",IF(X15&lt;$B$8,"table","âme"))</f>
        <v>table</v>
      </c>
      <c r="Y16" s="26" t="str">
        <f t="shared" si="11"/>
        <v>table</v>
      </c>
      <c r="Z16" s="26" t="str">
        <f t="shared" si="11"/>
        <v>table</v>
      </c>
      <c r="AA16" s="26" t="str">
        <f t="shared" si="11"/>
        <v>table</v>
      </c>
      <c r="AB16" s="26" t="str">
        <f t="shared" si="11"/>
        <v>table</v>
      </c>
      <c r="AC16" s="26" t="str">
        <f t="shared" si="11"/>
        <v>table</v>
      </c>
      <c r="AD16" s="26" t="str">
        <f t="shared" si="11"/>
        <v>table</v>
      </c>
      <c r="AE16" s="26" t="str">
        <f t="shared" si="11"/>
        <v>table</v>
      </c>
      <c r="AF16" s="2" t="s">
        <v>85</v>
      </c>
      <c r="AL16" s="63">
        <v>80</v>
      </c>
      <c r="AM16" s="63">
        <v>4.8</v>
      </c>
      <c r="AN16" s="63">
        <v>42</v>
      </c>
      <c r="AO16" s="63">
        <v>2.8</v>
      </c>
      <c r="AP16" s="63">
        <v>2.8</v>
      </c>
      <c r="AQ16" s="63">
        <v>2.6</v>
      </c>
      <c r="AR16" s="63">
        <v>2.5</v>
      </c>
      <c r="AS16" s="63">
        <v>1.4</v>
      </c>
    </row>
    <row r="17" spans="8:45" ht="14.25" thickTop="1">
      <c r="H17" s="23">
        <v>1</v>
      </c>
      <c r="I17" s="86" t="s">
        <v>44</v>
      </c>
      <c r="J17" s="8">
        <v>0.1</v>
      </c>
      <c r="K17" s="8">
        <v>0.5</v>
      </c>
      <c r="N17" s="8" t="s">
        <v>61</v>
      </c>
      <c r="O17" s="8"/>
      <c r="P17" s="26">
        <f aca="true" t="shared" si="12" ref="P17:AE17">fik(P13,$B$5,$B$7,$B$8,$B$9,$B$10,$B$64,$B$6,3)</f>
        <v>0.02334921247277793</v>
      </c>
      <c r="Q17" s="26">
        <f t="shared" si="12"/>
        <v>0.02095299184967877</v>
      </c>
      <c r="R17" s="26">
        <f t="shared" si="12"/>
        <v>0.1165829842607404</v>
      </c>
      <c r="S17" s="26">
        <f t="shared" si="12"/>
        <v>0.10765936963673493</v>
      </c>
      <c r="T17" s="26">
        <f t="shared" si="12"/>
        <v>0.10095025425148785</v>
      </c>
      <c r="U17" s="26">
        <f t="shared" si="12"/>
        <v>0.09669594161983024</v>
      </c>
      <c r="V17" s="26">
        <f t="shared" si="12"/>
        <v>0.09537784902562119</v>
      </c>
      <c r="W17" s="26">
        <f t="shared" si="12"/>
        <v>0.09537784902562119</v>
      </c>
      <c r="X17" s="26">
        <f t="shared" si="12"/>
        <v>0.09537784902562119</v>
      </c>
      <c r="Y17" s="26">
        <f t="shared" si="12"/>
        <v>0.09537784902562119</v>
      </c>
      <c r="Z17" s="26">
        <f t="shared" si="12"/>
        <v>0.09537784902562119</v>
      </c>
      <c r="AA17" s="26">
        <f t="shared" si="12"/>
        <v>0.09537784902562119</v>
      </c>
      <c r="AB17" s="26">
        <f t="shared" si="12"/>
        <v>0.09537784902562119</v>
      </c>
      <c r="AC17" s="26">
        <f t="shared" si="12"/>
        <v>0.09537784902562119</v>
      </c>
      <c r="AD17" s="26">
        <f t="shared" si="12"/>
        <v>0.09537784902562119</v>
      </c>
      <c r="AE17" s="26">
        <f t="shared" si="12"/>
        <v>0.09537784902562119</v>
      </c>
      <c r="AL17" s="65">
        <v>90</v>
      </c>
      <c r="AM17" s="65">
        <v>5</v>
      </c>
      <c r="AN17" s="65">
        <v>44</v>
      </c>
      <c r="AO17" s="65">
        <v>2.8</v>
      </c>
      <c r="AP17" s="65">
        <v>2.8</v>
      </c>
      <c r="AQ17" s="65">
        <v>2.6</v>
      </c>
      <c r="AR17" s="65">
        <v>2.6</v>
      </c>
      <c r="AS17" s="65">
        <v>1.4</v>
      </c>
    </row>
    <row r="18" spans="1:32" ht="13.5">
      <c r="A18" s="88" t="str">
        <f>IF(rbet="non","Il n'y a pas de reprise de bétonnage","Il y a reprise de bétonnage avec une surface "&amp;B16)</f>
        <v>Il y a reprise de bétonnage avec une surface rugueuse</v>
      </c>
      <c r="H18" s="23">
        <v>2</v>
      </c>
      <c r="I18" s="86" t="s">
        <v>45</v>
      </c>
      <c r="J18" s="8">
        <v>0.2</v>
      </c>
      <c r="K18" s="8">
        <v>0.6</v>
      </c>
      <c r="N18" s="16" t="s">
        <v>62</v>
      </c>
      <c r="O18" s="8" t="s">
        <v>27</v>
      </c>
      <c r="P18" s="25">
        <f aca="true" t="shared" si="13" ref="P18:AE18">(1-P17)*p/1000/$B$7*$AS$25</f>
        <v>0.6511005250181481</v>
      </c>
      <c r="Q18" s="25">
        <f t="shared" si="13"/>
        <v>0.6526980054335474</v>
      </c>
      <c r="R18" s="25">
        <f t="shared" si="13"/>
        <v>0.5889446771595064</v>
      </c>
      <c r="S18" s="25">
        <f t="shared" si="13"/>
        <v>0.59489375357551</v>
      </c>
      <c r="T18" s="25">
        <f t="shared" si="13"/>
        <v>0.5993664971656747</v>
      </c>
      <c r="U18" s="25">
        <f t="shared" si="13"/>
        <v>0.60220270558678</v>
      </c>
      <c r="V18" s="25">
        <f t="shared" si="13"/>
        <v>0.6030814339829192</v>
      </c>
      <c r="W18" s="25">
        <f t="shared" si="13"/>
        <v>0.6030814339829192</v>
      </c>
      <c r="X18" s="25">
        <f t="shared" si="13"/>
        <v>0.6030814339829192</v>
      </c>
      <c r="Y18" s="25">
        <f t="shared" si="13"/>
        <v>0.6030814339829192</v>
      </c>
      <c r="Z18" s="25">
        <f t="shared" si="13"/>
        <v>0.6030814339829192</v>
      </c>
      <c r="AA18" s="25">
        <f t="shared" si="13"/>
        <v>0.6030814339829192</v>
      </c>
      <c r="AB18" s="25">
        <f t="shared" si="13"/>
        <v>0.6030814339829192</v>
      </c>
      <c r="AC18" s="25">
        <f t="shared" si="13"/>
        <v>0.6030814339829192</v>
      </c>
      <c r="AD18" s="25">
        <f t="shared" si="13"/>
        <v>0.6030814339829192</v>
      </c>
      <c r="AE18" s="25">
        <f t="shared" si="13"/>
        <v>0.6030814339829192</v>
      </c>
      <c r="AF18" s="5" t="s">
        <v>63</v>
      </c>
    </row>
    <row r="19" spans="8:41" ht="13.5">
      <c r="H19" s="23">
        <v>3</v>
      </c>
      <c r="I19" s="86" t="s">
        <v>46</v>
      </c>
      <c r="J19" s="8">
        <v>0.4</v>
      </c>
      <c r="K19" s="8">
        <v>0.7</v>
      </c>
      <c r="N19" s="8" t="s">
        <v>74</v>
      </c>
      <c r="O19" s="8" t="s">
        <v>27</v>
      </c>
      <c r="P19" s="25">
        <f aca="true" t="shared" si="14" ref="P19:AE19">$B$67*$B$65+$B$68*P18</f>
        <v>1.006213753347852</v>
      </c>
      <c r="Q19" s="25">
        <f t="shared" si="14"/>
        <v>1.007491737680171</v>
      </c>
      <c r="R19" s="25">
        <f t="shared" si="14"/>
        <v>0.9564890750609384</v>
      </c>
      <c r="S19" s="25">
        <f t="shared" si="14"/>
        <v>0.9612483361937413</v>
      </c>
      <c r="T19" s="25">
        <f t="shared" si="14"/>
        <v>0.964826531065873</v>
      </c>
      <c r="U19" s="25">
        <f t="shared" si="14"/>
        <v>0.9670954978027573</v>
      </c>
      <c r="V19" s="25">
        <f t="shared" si="14"/>
        <v>0.9677984805196687</v>
      </c>
      <c r="W19" s="25">
        <f t="shared" si="14"/>
        <v>0.9677984805196687</v>
      </c>
      <c r="X19" s="25">
        <f t="shared" si="14"/>
        <v>0.9677984805196687</v>
      </c>
      <c r="Y19" s="25">
        <f t="shared" si="14"/>
        <v>0.9677984805196687</v>
      </c>
      <c r="Z19" s="25">
        <f t="shared" si="14"/>
        <v>0.9677984805196687</v>
      </c>
      <c r="AA19" s="25">
        <f t="shared" si="14"/>
        <v>0.9677984805196687</v>
      </c>
      <c r="AB19" s="25">
        <f t="shared" si="14"/>
        <v>0.9677984805196687</v>
      </c>
      <c r="AC19" s="25">
        <f t="shared" si="14"/>
        <v>0.9677984805196687</v>
      </c>
      <c r="AD19" s="25">
        <f t="shared" si="14"/>
        <v>0.9677984805196687</v>
      </c>
      <c r="AE19" s="25">
        <f t="shared" si="14"/>
        <v>0.9677984805196687</v>
      </c>
      <c r="AF19" s="5" t="s">
        <v>75</v>
      </c>
      <c r="AO19" s="101" t="s">
        <v>172</v>
      </c>
    </row>
    <row r="20" spans="2:73" ht="13.5">
      <c r="B20" s="24" t="s">
        <v>107</v>
      </c>
      <c r="C20" s="24" t="s">
        <v>107</v>
      </c>
      <c r="H20" s="23">
        <v>4</v>
      </c>
      <c r="I20" s="86" t="s">
        <v>47</v>
      </c>
      <c r="J20" s="8">
        <v>0.45</v>
      </c>
      <c r="K20" s="8">
        <v>0.8</v>
      </c>
      <c r="N20" s="16" t="s">
        <v>4</v>
      </c>
      <c r="O20" s="8"/>
      <c r="P20" s="25">
        <f>fik(P13,$B$5,$B$7,$B$8,$B$9,$B$10,$B64,$B$6,4)</f>
        <v>1</v>
      </c>
      <c r="Q20" s="25">
        <f aca="true" t="shared" si="15" ref="Q20:AE20">fik(Q13,$B$5,$B$7,$B$8,$B$9,$B$10,$B$64,$B$6,4)</f>
        <v>1</v>
      </c>
      <c r="R20" s="25">
        <f t="shared" si="15"/>
        <v>1</v>
      </c>
      <c r="S20" s="25">
        <f t="shared" si="15"/>
        <v>1</v>
      </c>
      <c r="T20" s="25">
        <f t="shared" si="15"/>
        <v>1</v>
      </c>
      <c r="U20" s="25">
        <f t="shared" si="15"/>
        <v>1</v>
      </c>
      <c r="V20" s="25">
        <f t="shared" si="15"/>
        <v>1</v>
      </c>
      <c r="W20" s="25">
        <f t="shared" si="15"/>
        <v>1</v>
      </c>
      <c r="X20" s="25">
        <f t="shared" si="15"/>
        <v>1</v>
      </c>
      <c r="Y20" s="25">
        <f t="shared" si="15"/>
        <v>1</v>
      </c>
      <c r="Z20" s="25">
        <f t="shared" si="15"/>
        <v>1</v>
      </c>
      <c r="AA20" s="25">
        <f t="shared" si="15"/>
        <v>1</v>
      </c>
      <c r="AB20" s="25">
        <f t="shared" si="15"/>
        <v>1</v>
      </c>
      <c r="AC20" s="25">
        <f t="shared" si="15"/>
        <v>1</v>
      </c>
      <c r="AD20" s="25">
        <f t="shared" si="15"/>
        <v>1</v>
      </c>
      <c r="AE20" s="25">
        <f t="shared" si="15"/>
        <v>1</v>
      </c>
      <c r="AF20" s="2" t="s">
        <v>64</v>
      </c>
      <c r="AL20" s="11" t="s">
        <v>131</v>
      </c>
      <c r="AM20" s="13">
        <f>VLOOKUP(fck,AL$4:AS$17,2)</f>
        <v>2.6</v>
      </c>
      <c r="AO20" s="43">
        <f>ns(LL,P57,P58,P25:AE25,P54:AE54,B83,Asw,8)</f>
        <v>9999</v>
      </c>
      <c r="AP20" s="43">
        <v>1</v>
      </c>
      <c r="AQ20" s="43">
        <v>2</v>
      </c>
      <c r="AR20" s="43">
        <v>3</v>
      </c>
      <c r="AS20" s="43">
        <v>4</v>
      </c>
      <c r="AT20" s="43">
        <v>5</v>
      </c>
      <c r="AU20" s="43">
        <v>6</v>
      </c>
      <c r="AV20" s="43">
        <v>7</v>
      </c>
      <c r="AW20" s="43">
        <v>8</v>
      </c>
      <c r="AX20" s="43">
        <v>9</v>
      </c>
      <c r="AY20" s="43">
        <v>10</v>
      </c>
      <c r="AZ20" s="43">
        <v>11</v>
      </c>
      <c r="BA20" s="43">
        <v>12</v>
      </c>
      <c r="BB20" s="43">
        <v>13</v>
      </c>
      <c r="BC20" s="43">
        <v>14</v>
      </c>
      <c r="BD20" s="43">
        <v>15</v>
      </c>
      <c r="BE20" s="43">
        <v>16</v>
      </c>
      <c r="BF20" s="43">
        <v>17</v>
      </c>
      <c r="BG20" s="43">
        <v>18</v>
      </c>
      <c r="BH20" s="43">
        <v>19</v>
      </c>
      <c r="BI20" s="43">
        <v>20</v>
      </c>
      <c r="BJ20" s="43">
        <v>21</v>
      </c>
      <c r="BK20" s="43">
        <v>22</v>
      </c>
      <c r="BL20" s="43">
        <v>23</v>
      </c>
      <c r="BM20" s="43">
        <v>24</v>
      </c>
      <c r="BN20" s="43">
        <v>25</v>
      </c>
      <c r="BO20" s="43">
        <v>26</v>
      </c>
      <c r="BP20" s="43">
        <v>27</v>
      </c>
      <c r="BQ20" s="43">
        <v>28</v>
      </c>
      <c r="BR20" s="43">
        <v>29</v>
      </c>
      <c r="BS20" s="43">
        <v>30</v>
      </c>
      <c r="BT20" s="43">
        <v>31</v>
      </c>
      <c r="BU20" s="43">
        <v>32</v>
      </c>
    </row>
    <row r="21" spans="2:73" ht="14.25" thickBot="1">
      <c r="B21" s="69" t="s">
        <v>108</v>
      </c>
      <c r="C21" s="69" t="s">
        <v>109</v>
      </c>
      <c r="N21" s="8" t="s">
        <v>49</v>
      </c>
      <c r="O21" s="8" t="s">
        <v>27</v>
      </c>
      <c r="P21" s="25">
        <f aca="true" t="shared" si="16" ref="P21:AE21">P20*P12/$B$7/$B$71</f>
        <v>4.0740740740740735</v>
      </c>
      <c r="Q21" s="25">
        <f t="shared" si="16"/>
        <v>3.407407407407407</v>
      </c>
      <c r="R21" s="25">
        <f t="shared" si="16"/>
        <v>2.740740740740741</v>
      </c>
      <c r="S21" s="25">
        <f t="shared" si="16"/>
        <v>2.074074074074074</v>
      </c>
      <c r="T21" s="25">
        <f t="shared" si="16"/>
        <v>1.4074074074074077</v>
      </c>
      <c r="U21" s="25">
        <f t="shared" si="16"/>
        <v>0.7407407407407406</v>
      </c>
      <c r="V21" s="25">
        <f t="shared" si="16"/>
        <v>0.3333333333333328</v>
      </c>
      <c r="W21" s="25">
        <f t="shared" si="16"/>
        <v>0.3333333333333328</v>
      </c>
      <c r="X21" s="25">
        <f t="shared" si="16"/>
        <v>0.3333333333333328</v>
      </c>
      <c r="Y21" s="25">
        <f t="shared" si="16"/>
        <v>0.3333333333333328</v>
      </c>
      <c r="Z21" s="25">
        <f t="shared" si="16"/>
        <v>0.3333333333333328</v>
      </c>
      <c r="AA21" s="25">
        <f t="shared" si="16"/>
        <v>0.3333333333333328</v>
      </c>
      <c r="AB21" s="25">
        <f t="shared" si="16"/>
        <v>0.3333333333333328</v>
      </c>
      <c r="AC21" s="25">
        <f t="shared" si="16"/>
        <v>0.3333333333333328</v>
      </c>
      <c r="AD21" s="25">
        <f t="shared" si="16"/>
        <v>0.3333333333333328</v>
      </c>
      <c r="AE21" s="25">
        <f t="shared" si="16"/>
        <v>0.3333333333333328</v>
      </c>
      <c r="AF21" s="5" t="s">
        <v>76</v>
      </c>
      <c r="AL21" s="66" t="s">
        <v>135</v>
      </c>
      <c r="AM21" s="52">
        <f>VLOOKUP(fck,AL$4:AS$17,6)</f>
        <v>3.5</v>
      </c>
      <c r="AO21" s="42" t="str">
        <f>ns(LL,P57,P58,P25:AE25,P54:AE54,B83,Asw,7)</f>
        <v> 900000000 1 600000000 1 500000000 1 300000000 1 400000000 1 300000000 1 400000000 1 600000000 1 800000000 1000000000000000000000000000000000000000000000000000000000000000000000000000000000000000000000000000000000000000000000000000000000000000000000000000000000000000000000000000000000000000000000000000000000000000000000000000000000000000000000000000000000000000000000000000000000000</v>
      </c>
      <c r="AP21" s="68">
        <f aca="true" t="shared" si="17" ref="AP21:AY22">macf($AO21,AP$20)</f>
        <v>9</v>
      </c>
      <c r="AQ21" s="68">
        <f t="shared" si="17"/>
        <v>6</v>
      </c>
      <c r="AR21" s="68">
        <f t="shared" si="17"/>
        <v>5</v>
      </c>
      <c r="AS21" s="68">
        <f t="shared" si="17"/>
        <v>3</v>
      </c>
      <c r="AT21" s="68">
        <f t="shared" si="17"/>
        <v>4</v>
      </c>
      <c r="AU21" s="68">
        <f t="shared" si="17"/>
        <v>3</v>
      </c>
      <c r="AV21" s="68">
        <f t="shared" si="17"/>
        <v>4</v>
      </c>
      <c r="AW21" s="68">
        <f t="shared" si="17"/>
        <v>6</v>
      </c>
      <c r="AX21" s="68">
        <f t="shared" si="17"/>
        <v>8</v>
      </c>
      <c r="AY21" s="68">
        <f t="shared" si="17"/>
        <v>0</v>
      </c>
      <c r="AZ21" s="68">
        <f aca="true" t="shared" si="18" ref="AZ21:BI22">macf($AO21,AZ$20)</f>
        <v>0</v>
      </c>
      <c r="BA21" s="68">
        <f t="shared" si="18"/>
        <v>0</v>
      </c>
      <c r="BB21" s="68">
        <f t="shared" si="18"/>
        <v>0</v>
      </c>
      <c r="BC21" s="68">
        <f t="shared" si="18"/>
        <v>0</v>
      </c>
      <c r="BD21" s="68">
        <f t="shared" si="18"/>
        <v>0</v>
      </c>
      <c r="BE21" s="68">
        <f t="shared" si="18"/>
        <v>0</v>
      </c>
      <c r="BF21" s="68">
        <f t="shared" si="18"/>
        <v>0</v>
      </c>
      <c r="BG21" s="68">
        <f t="shared" si="18"/>
        <v>0</v>
      </c>
      <c r="BH21" s="68">
        <f t="shared" si="18"/>
        <v>0</v>
      </c>
      <c r="BI21" s="68">
        <f t="shared" si="18"/>
        <v>0</v>
      </c>
      <c r="BJ21" s="68">
        <f aca="true" t="shared" si="19" ref="BJ21:BU22">macf($AO21,BJ$20)</f>
        <v>0</v>
      </c>
      <c r="BK21" s="68">
        <f t="shared" si="19"/>
        <v>0</v>
      </c>
      <c r="BL21" s="68">
        <f t="shared" si="19"/>
        <v>0</v>
      </c>
      <c r="BM21" s="68">
        <f t="shared" si="19"/>
        <v>0</v>
      </c>
      <c r="BN21" s="68">
        <f t="shared" si="19"/>
        <v>0</v>
      </c>
      <c r="BO21" s="68">
        <f t="shared" si="19"/>
        <v>0</v>
      </c>
      <c r="BP21" s="68">
        <f t="shared" si="19"/>
        <v>0</v>
      </c>
      <c r="BQ21" s="68">
        <f t="shared" si="19"/>
        <v>0</v>
      </c>
      <c r="BR21" s="68">
        <f t="shared" si="19"/>
        <v>0</v>
      </c>
      <c r="BS21" s="68">
        <f t="shared" si="19"/>
        <v>0</v>
      </c>
      <c r="BT21" s="68">
        <f t="shared" si="19"/>
        <v>0</v>
      </c>
      <c r="BU21" s="68">
        <f t="shared" si="19"/>
        <v>0</v>
      </c>
    </row>
    <row r="22" spans="1:73" ht="14.25" thickTop="1">
      <c r="A22" s="3" t="s">
        <v>110</v>
      </c>
      <c r="B22" s="47">
        <f>-p/100</f>
        <v>-2</v>
      </c>
      <c r="C22" s="48">
        <v>0</v>
      </c>
      <c r="D22" s="7" t="s">
        <v>51</v>
      </c>
      <c r="E22" s="2" t="s">
        <v>146</v>
      </c>
      <c r="N22" s="8" t="s">
        <v>57</v>
      </c>
      <c r="O22" s="8" t="s">
        <v>13</v>
      </c>
      <c r="P22" s="10">
        <f aca="true" t="shared" si="20" ref="P22:AE22">IF(rbet="non",0,MAX(0,(P21-$I$65-$B$68*P18)/$B$66/($B$68*SIN($B$79)+COS($B$79))*10000*$B$7))</f>
        <v>26.460295266263664</v>
      </c>
      <c r="Q22" s="10">
        <f t="shared" si="20"/>
        <v>20.699272651397404</v>
      </c>
      <c r="R22" s="10">
        <f t="shared" si="20"/>
        <v>15.389170616488295</v>
      </c>
      <c r="S22" s="10">
        <f t="shared" si="20"/>
        <v>9.598121989217868</v>
      </c>
      <c r="T22" s="10">
        <f t="shared" si="20"/>
        <v>3.8172600584457346</v>
      </c>
      <c r="U22" s="10">
        <f t="shared" si="20"/>
        <v>0</v>
      </c>
      <c r="V22" s="10">
        <f t="shared" si="20"/>
        <v>0</v>
      </c>
      <c r="W22" s="10">
        <f t="shared" si="20"/>
        <v>0</v>
      </c>
      <c r="X22" s="10">
        <f t="shared" si="20"/>
        <v>0</v>
      </c>
      <c r="Y22" s="10">
        <f t="shared" si="20"/>
        <v>0</v>
      </c>
      <c r="Z22" s="10">
        <f t="shared" si="20"/>
        <v>0</v>
      </c>
      <c r="AA22" s="10">
        <f t="shared" si="20"/>
        <v>0</v>
      </c>
      <c r="AB22" s="10">
        <f t="shared" si="20"/>
        <v>0</v>
      </c>
      <c r="AC22" s="10">
        <f t="shared" si="20"/>
        <v>0</v>
      </c>
      <c r="AD22" s="10">
        <f t="shared" si="20"/>
        <v>0</v>
      </c>
      <c r="AE22" s="10">
        <f t="shared" si="20"/>
        <v>0</v>
      </c>
      <c r="AL22" s="66" t="s">
        <v>138</v>
      </c>
      <c r="AM22" s="52">
        <f>B66/200</f>
        <v>2.1739130434782608</v>
      </c>
      <c r="AO22" s="42" t="str">
        <f>ns(LL,P57,P58,P25:AE25,P54:AE54,B83,Asw,6)</f>
        <v> 114000000 3 144000000 3 184000000 3 257000000 3 603000000 3 328000000 3 219000000 3 164000000 3 130000000 3000000000000000000000000000000000000000000000000000000000000000000000000000000000000000000000000000000000000000000000000000000000000000000000000000000000000000000000000000000000000000000000000000000000000000000000000000000000000000000000000000000000000000000000000000000000000</v>
      </c>
      <c r="AP22" s="68">
        <f t="shared" si="17"/>
        <v>114.00000000000001</v>
      </c>
      <c r="AQ22" s="68">
        <f t="shared" si="17"/>
        <v>144</v>
      </c>
      <c r="AR22" s="68">
        <f t="shared" si="17"/>
        <v>184.00000000000003</v>
      </c>
      <c r="AS22" s="68">
        <f t="shared" si="17"/>
        <v>257</v>
      </c>
      <c r="AT22" s="68">
        <f t="shared" si="17"/>
        <v>603</v>
      </c>
      <c r="AU22" s="68">
        <f t="shared" si="17"/>
        <v>328</v>
      </c>
      <c r="AV22" s="68">
        <f t="shared" si="17"/>
        <v>219.00000000000003</v>
      </c>
      <c r="AW22" s="68">
        <f t="shared" si="17"/>
        <v>164</v>
      </c>
      <c r="AX22" s="68">
        <f t="shared" si="17"/>
        <v>130</v>
      </c>
      <c r="AY22" s="68">
        <f t="shared" si="17"/>
        <v>0</v>
      </c>
      <c r="AZ22" s="68">
        <f t="shared" si="18"/>
        <v>0</v>
      </c>
      <c r="BA22" s="68">
        <f t="shared" si="18"/>
        <v>0</v>
      </c>
      <c r="BB22" s="68">
        <f t="shared" si="18"/>
        <v>0</v>
      </c>
      <c r="BC22" s="68">
        <f t="shared" si="18"/>
        <v>0</v>
      </c>
      <c r="BD22" s="68">
        <f t="shared" si="18"/>
        <v>0</v>
      </c>
      <c r="BE22" s="68">
        <f t="shared" si="18"/>
        <v>0</v>
      </c>
      <c r="BF22" s="68">
        <f t="shared" si="18"/>
        <v>0</v>
      </c>
      <c r="BG22" s="68">
        <f t="shared" si="18"/>
        <v>0</v>
      </c>
      <c r="BH22" s="68">
        <f t="shared" si="18"/>
        <v>0</v>
      </c>
      <c r="BI22" s="68">
        <f t="shared" si="18"/>
        <v>0</v>
      </c>
      <c r="BJ22" s="68">
        <f t="shared" si="19"/>
        <v>0</v>
      </c>
      <c r="BK22" s="68">
        <f t="shared" si="19"/>
        <v>0</v>
      </c>
      <c r="BL22" s="68">
        <f t="shared" si="19"/>
        <v>0</v>
      </c>
      <c r="BM22" s="68">
        <f t="shared" si="19"/>
        <v>0</v>
      </c>
      <c r="BN22" s="68">
        <f t="shared" si="19"/>
        <v>0</v>
      </c>
      <c r="BO22" s="68">
        <f t="shared" si="19"/>
        <v>0</v>
      </c>
      <c r="BP22" s="68">
        <f t="shared" si="19"/>
        <v>0</v>
      </c>
      <c r="BQ22" s="68">
        <f t="shared" si="19"/>
        <v>0</v>
      </c>
      <c r="BR22" s="68">
        <f t="shared" si="19"/>
        <v>0</v>
      </c>
      <c r="BS22" s="68">
        <f t="shared" si="19"/>
        <v>0</v>
      </c>
      <c r="BT22" s="68">
        <f t="shared" si="19"/>
        <v>0</v>
      </c>
      <c r="BU22" s="68">
        <f t="shared" si="19"/>
        <v>0</v>
      </c>
    </row>
    <row r="23" spans="1:39" ht="14.25" thickBot="1">
      <c r="A23" s="3" t="s">
        <v>111</v>
      </c>
      <c r="B23" s="89">
        <v>-1</v>
      </c>
      <c r="C23" s="90">
        <v>0</v>
      </c>
      <c r="D23" s="7" t="s">
        <v>51</v>
      </c>
      <c r="E23" s="2" t="s">
        <v>147</v>
      </c>
      <c r="AL23" s="66" t="s">
        <v>139</v>
      </c>
      <c r="AM23" s="52">
        <f>AM21/(AM21+AM22)</f>
        <v>0.6168582375478927</v>
      </c>
    </row>
    <row r="24" spans="14:45" ht="14.25" thickTop="1">
      <c r="N24" s="15" t="str">
        <f>"Armatures retenues côté gauche  jusqu'à l'abscisse : "&amp;ROUND(B72,3)&amp;" m"</f>
        <v>Armatures retenues côté gauche  jusqu'à l'abscisse : 6 m</v>
      </c>
      <c r="AL24" s="67" t="s">
        <v>140</v>
      </c>
      <c r="AM24" s="54">
        <f>0.8*AM23*(1-0.4*AM23)</f>
        <v>0.37172208276449265</v>
      </c>
      <c r="AP24" s="24" t="s">
        <v>153</v>
      </c>
      <c r="AR24" s="97" t="s">
        <v>62</v>
      </c>
      <c r="AS24" s="100" t="s">
        <v>153</v>
      </c>
    </row>
    <row r="25" spans="1:45" ht="14.25">
      <c r="A25" s="15" t="s">
        <v>148</v>
      </c>
      <c r="H25" s="1" t="s">
        <v>160</v>
      </c>
      <c r="I25" s="93">
        <f>B7*z*0.6*(1-fck/250)*B64*(B13+B14)/(1+B13*B13)</f>
        <v>1.2150000000000003</v>
      </c>
      <c r="J25" s="1" t="s">
        <v>8</v>
      </c>
      <c r="N25" s="9" t="s">
        <v>57</v>
      </c>
      <c r="O25" s="8" t="s">
        <v>13</v>
      </c>
      <c r="P25" s="10">
        <f aca="true" t="shared" si="21" ref="P25:AE25">MAX(P7,P22)</f>
        <v>26.460295266263664</v>
      </c>
      <c r="Q25" s="10">
        <f t="shared" si="21"/>
        <v>20.955555555555552</v>
      </c>
      <c r="R25" s="10">
        <f t="shared" si="21"/>
        <v>16.35555555555555</v>
      </c>
      <c r="S25" s="10">
        <f t="shared" si="21"/>
        <v>11.755555555555553</v>
      </c>
      <c r="T25" s="10">
        <f t="shared" si="21"/>
        <v>7.155555555555555</v>
      </c>
      <c r="U25" s="10">
        <f t="shared" si="21"/>
        <v>2.555555555555552</v>
      </c>
      <c r="V25" s="10">
        <f t="shared" si="21"/>
        <v>0</v>
      </c>
      <c r="W25" s="10">
        <f t="shared" si="21"/>
        <v>0</v>
      </c>
      <c r="X25" s="10">
        <f t="shared" si="21"/>
        <v>0</v>
      </c>
      <c r="Y25" s="10">
        <f t="shared" si="21"/>
        <v>0</v>
      </c>
      <c r="Z25" s="10">
        <f t="shared" si="21"/>
        <v>0</v>
      </c>
      <c r="AA25" s="10">
        <f t="shared" si="21"/>
        <v>0</v>
      </c>
      <c r="AB25" s="10">
        <f t="shared" si="21"/>
        <v>0</v>
      </c>
      <c r="AC25" s="10">
        <f t="shared" si="21"/>
        <v>0</v>
      </c>
      <c r="AD25" s="10">
        <f t="shared" si="21"/>
        <v>0</v>
      </c>
      <c r="AE25" s="10">
        <f t="shared" si="21"/>
        <v>0</v>
      </c>
      <c r="AP25" s="87" t="s">
        <v>154</v>
      </c>
      <c r="AR25" s="1" t="s">
        <v>171</v>
      </c>
      <c r="AS25" s="87">
        <f>IF(AS24="oui",1,0)</f>
        <v>1</v>
      </c>
    </row>
    <row r="26" spans="8:11" ht="13.5">
      <c r="H26" s="1" t="s">
        <v>161</v>
      </c>
      <c r="I26" s="94">
        <f>B69</f>
        <v>1.2</v>
      </c>
      <c r="J26" s="1" t="s">
        <v>8</v>
      </c>
      <c r="K26" s="2" t="str">
        <f>IF(I26&lt;I$25," &lt;  "&amp;ROUND(I$25,3)&amp;" OK"," &gt; "&amp;ROUND(I$25,3)&amp;" KO")</f>
        <v> &lt;  1,215 OK</v>
      </c>
    </row>
    <row r="27" spans="1:43" ht="13.5">
      <c r="A27" s="44">
        <f>SUM(AO21:BU21)+1</f>
        <v>49</v>
      </c>
      <c r="B27" s="45" t="s">
        <v>106</v>
      </c>
      <c r="C27" s="46"/>
      <c r="H27" s="1" t="s">
        <v>162</v>
      </c>
      <c r="I27" s="95">
        <f>B70</f>
        <v>1.1</v>
      </c>
      <c r="J27" s="1" t="s">
        <v>8</v>
      </c>
      <c r="K27" s="2" t="str">
        <f>IF(I27&lt;I$25," &lt;  "&amp;ROUND(I$25,3)&amp;" OK"," &gt; "&amp;ROUND(I$25,3)&amp;" KO")</f>
        <v> &lt;  1,215 OK</v>
      </c>
      <c r="N27"/>
      <c r="O27"/>
      <c r="P27"/>
      <c r="Q27"/>
      <c r="R27"/>
      <c r="S27"/>
      <c r="T27"/>
      <c r="U27"/>
      <c r="V27"/>
      <c r="AM27" s="1" t="s">
        <v>104</v>
      </c>
      <c r="AN27" s="2" t="str">
        <f>deso(LL,P57,P58,P7:AE7,1,1)</f>
        <v>000000000000 100000000 1 100000000 1 190000000 1 190000000 1 280000000 1 280000000 1 370000000 1 370000000 1 460000000 1 460000000 1 550000000 1 550000000 1 640000000 1 640000000 1 640000000 1 640000000 1 640000000 1 640000000 1 640000000 1 640000000 1 640000000 1 640000000 1 640000000 1 640000000 1 640000000 1 640000000 1 640000000 1 640000000 1 640000000 1 640000000 1 640000000 1000000000000</v>
      </c>
      <c r="AO27" s="1" t="str">
        <f>deso(LL,P57,P58,P7:AE7,1,2)</f>
        <v> 255555555 2 255555555 2 209555555 2 209555555 2 163555555 2 163555555 2 117555555 2 117555555 2 715555555 1 715555555 1 255555555 1 255555555 1000000000000000000000000000000000000000000000000000000000000000000000000000000000000000000000000000000000000000000000000000000000000000000000000000000000000000000000000000000000000000000000000000000000000000000000000000000000000000000000000000000000000</v>
      </c>
      <c r="AP27" s="3" t="str">
        <f>deso(LL,P57,P58,P22:AE22,1,2)</f>
        <v> 264602952 2 264602952 2 206992726 2 206992726 2 153891706 2 153891706 2 959812198 1 959812198 1 381726005 1 381726005 1000000000000000000000000000000000000000000000000000000000000000000000000000000000000000000000000000000000000000000000000000000000000000000000000000000000000000000000000000000000000000000000000000000000000000000000000000000000000000000000000000000000000000000000000000000000000</v>
      </c>
      <c r="AQ27" s="3"/>
    </row>
    <row r="28" spans="14:43" ht="12">
      <c r="N28"/>
      <c r="O28"/>
      <c r="P28" s="10">
        <f aca="true" t="shared" si="22" ref="P28:U28">P54</f>
        <v>23.254444444444434</v>
      </c>
      <c r="Q28" s="10">
        <f t="shared" si="22"/>
        <v>18.400000000000002</v>
      </c>
      <c r="R28" s="10">
        <f t="shared" si="22"/>
        <v>13.799999999999999</v>
      </c>
      <c r="S28" s="10">
        <f t="shared" si="22"/>
        <v>9.200000000000001</v>
      </c>
      <c r="T28" s="10">
        <f t="shared" si="22"/>
        <v>4.600000000000004</v>
      </c>
      <c r="U28" s="10">
        <f t="shared" si="22"/>
        <v>0</v>
      </c>
      <c r="V28" s="96"/>
      <c r="W28" s="96"/>
      <c r="AM28" s="1" t="s">
        <v>151</v>
      </c>
      <c r="AN28" s="1" t="str">
        <f>deso(LL,P57,P58,P36:AE36,2,1)</f>
        <v> 100000000 2 900000000 1 900000000 1 810000000 1 810000000 1 720000000 1 720000000 1 630000000 1 630000000 1 540000000 1 540000000 1 450000000 1 450000000 1 450000000 1 450000000 1 450000000 1 450000000 1 450000000 1 450000000 1 450000000 1 450000000 1 450000000 1 450000000 1 450000000 1 450000000 1 450000000 1 450000000 1 450000000 1 450000000 1 450000000 1 450000000 1 450000000 1000000000000</v>
      </c>
      <c r="AO28" s="1" t="str">
        <f>deso(LL,P57,P58,P36:AE36,2,2)</f>
        <v> 230000000 2 230000000 2 184000000 2 184000000 2 138000000 2 138000000 2 920000000 1 920000000 1 460000000 1 460000000 1000000000000000000000000000000000000000000000000000000000000000000000000000000000000000000000000000000000000000000000000000000000000000000000000000000000000000000000000000000000000000000000000000000000000000000000000000000000000000000000000000000000000000000000000000000000000</v>
      </c>
      <c r="AP28" s="3" t="str">
        <f>deso(LL,P57,P58,P51:AE51,2,2)</f>
        <v> 232544444 2 232544444 2 179369382 2 179369382 2 121403067 2 121403067 2 635354884 1 635354884 1 577972338 0 577972338 0000000000000000000000000000000000000000000000000000000000000000000000000000000000000000000000000000000000000000000000000000000000000000000000000000000000000000000000000000000000000000000000000000000000000000000000000000000000000000000000000000000000000000000000000000000000000</v>
      </c>
      <c r="AQ28" s="3"/>
    </row>
    <row r="29" spans="1:53" ht="12">
      <c r="A29" s="15" t="s">
        <v>149</v>
      </c>
      <c r="AN29" s="72"/>
      <c r="AO29" s="73" t="s">
        <v>65</v>
      </c>
      <c r="AP29" s="73" t="s">
        <v>66</v>
      </c>
      <c r="AQ29" s="73" t="s">
        <v>68</v>
      </c>
      <c r="AR29" s="74" t="s">
        <v>167</v>
      </c>
      <c r="AU29" s="11"/>
      <c r="AV29" s="12" t="s">
        <v>155</v>
      </c>
      <c r="AW29" s="12" t="s">
        <v>156</v>
      </c>
      <c r="AX29" s="13" t="s">
        <v>167</v>
      </c>
      <c r="BA29" s="2" t="s">
        <v>166</v>
      </c>
    </row>
    <row r="30" spans="1:57" ht="12">
      <c r="A30" s="91" t="str">
        <f>"  "&amp;nfois(AP21:BH21,AP22:BH22)</f>
        <v>  57  9x114  6x144  5x184  3x257  4x603  3x328  4x219  6x164  8x130    65</v>
      </c>
      <c r="B30" s="92"/>
      <c r="C30" s="45"/>
      <c r="D30" s="45"/>
      <c r="E30" s="92"/>
      <c r="F30" s="92"/>
      <c r="G30" s="92"/>
      <c r="H30" s="92"/>
      <c r="I30" s="92"/>
      <c r="J30" s="92"/>
      <c r="K30" s="92"/>
      <c r="L30" s="92"/>
      <c r="M30" s="46"/>
      <c r="AM30" s="1">
        <v>1</v>
      </c>
      <c r="AN30" s="75">
        <f aca="true" t="shared" si="23" ref="AN30:AN61">macf(AN$27,AM30)</f>
        <v>0</v>
      </c>
      <c r="AO30" s="76">
        <f aca="true" t="shared" si="24" ref="AO30:AO61">macf(AO$27,AM30)</f>
        <v>25.555555</v>
      </c>
      <c r="AP30" s="76">
        <f aca="true" t="shared" si="25" ref="AP30:AP61">macf(AP$27,AM30)</f>
        <v>26.460295</v>
      </c>
      <c r="AQ30" s="81"/>
      <c r="AR30" s="77"/>
      <c r="AT30" s="1">
        <v>0</v>
      </c>
      <c r="AU30" s="14">
        <f aca="true" t="shared" si="26" ref="AU30:AU50">AT30/20*LL</f>
        <v>0</v>
      </c>
      <c r="AV30" s="51">
        <f aca="true" t="shared" si="27" ref="AV30:AV50">p/1000*AU30*(LL-AU30)/2+(1-AU30/LL)*B$22+AU30/LL*C$22</f>
        <v>-2</v>
      </c>
      <c r="AW30" s="51">
        <f aca="true" t="shared" si="28" ref="AW30:AW50">p/1000*AU30*(LL-AU30)/2+(1-AU30/LL)*B$23+AU30/LL*C$23</f>
        <v>-1</v>
      </c>
      <c r="AX30" s="52"/>
      <c r="BA30" s="11"/>
      <c r="BB30" s="12" t="s">
        <v>164</v>
      </c>
      <c r="BC30" s="12" t="s">
        <v>165</v>
      </c>
      <c r="BD30" s="12"/>
      <c r="BE30" s="13" t="s">
        <v>167</v>
      </c>
    </row>
    <row r="31" spans="14:57" ht="12">
      <c r="N31" s="15" t="str">
        <f>"Armatures d'effort tranchant côté droit  sur une longueur : "&amp;ROUND(B73,3)&amp;" m"</f>
        <v>Armatures d'effort tranchant côté droit  sur une longueur : 5,5 m</v>
      </c>
      <c r="AM31" s="1">
        <v>2</v>
      </c>
      <c r="AN31" s="75">
        <f t="shared" si="23"/>
        <v>1</v>
      </c>
      <c r="AO31" s="76">
        <f t="shared" si="24"/>
        <v>25.555555</v>
      </c>
      <c r="AP31" s="76">
        <f t="shared" si="25"/>
        <v>26.460295</v>
      </c>
      <c r="AQ31" s="81"/>
      <c r="AR31" s="77"/>
      <c r="AT31" s="1">
        <v>1</v>
      </c>
      <c r="AU31" s="14">
        <f t="shared" si="26"/>
        <v>0.5</v>
      </c>
      <c r="AV31" s="51">
        <f t="shared" si="27"/>
        <v>-1.4249999999999998</v>
      </c>
      <c r="AW31" s="51">
        <f t="shared" si="28"/>
        <v>-0.4749999999999999</v>
      </c>
      <c r="AX31" s="52"/>
      <c r="BA31" s="14">
        <v>0</v>
      </c>
      <c r="BB31" s="51">
        <f>p*LL/2/1000+(C22-B22)/LL</f>
        <v>1.2</v>
      </c>
      <c r="BC31" s="51">
        <f>p*LL/2/1000+(C23-B23)/LL</f>
        <v>1.1</v>
      </c>
      <c r="BD31" s="51"/>
      <c r="BE31" s="52"/>
    </row>
    <row r="32" spans="14:57" ht="12">
      <c r="N32" s="8"/>
      <c r="O32" s="8"/>
      <c r="P32" s="8" t="s">
        <v>37</v>
      </c>
      <c r="Q32" s="8" t="s">
        <v>38</v>
      </c>
      <c r="R32" s="8" t="s">
        <v>39</v>
      </c>
      <c r="S32" s="8" t="s">
        <v>40</v>
      </c>
      <c r="T32" s="8" t="s">
        <v>41</v>
      </c>
      <c r="U32" s="8" t="s">
        <v>67</v>
      </c>
      <c r="V32" s="8" t="s">
        <v>69</v>
      </c>
      <c r="W32" s="8" t="s">
        <v>103</v>
      </c>
      <c r="X32" s="8" t="s">
        <v>105</v>
      </c>
      <c r="Y32" s="8" t="s">
        <v>141</v>
      </c>
      <c r="Z32" s="8" t="s">
        <v>142</v>
      </c>
      <c r="AA32" s="8" t="s">
        <v>0</v>
      </c>
      <c r="AB32" s="8" t="s">
        <v>50</v>
      </c>
      <c r="AC32" s="8" t="s">
        <v>143</v>
      </c>
      <c r="AD32" s="8" t="s">
        <v>144</v>
      </c>
      <c r="AE32" s="8" t="s">
        <v>145</v>
      </c>
      <c r="AM32" s="1">
        <v>3</v>
      </c>
      <c r="AN32" s="75">
        <f t="shared" si="23"/>
        <v>1</v>
      </c>
      <c r="AO32" s="76">
        <f t="shared" si="24"/>
        <v>20.955555</v>
      </c>
      <c r="AP32" s="76">
        <f t="shared" si="25"/>
        <v>20.699272</v>
      </c>
      <c r="AQ32" s="76"/>
      <c r="AR32" s="77"/>
      <c r="AT32" s="1">
        <v>2</v>
      </c>
      <c r="AU32" s="14">
        <f t="shared" si="26"/>
        <v>1</v>
      </c>
      <c r="AV32" s="51">
        <f t="shared" si="27"/>
        <v>-0.9</v>
      </c>
      <c r="AW32" s="51">
        <f t="shared" si="28"/>
        <v>0</v>
      </c>
      <c r="AX32" s="52"/>
      <c r="BA32" s="14">
        <f>LL</f>
        <v>10</v>
      </c>
      <c r="BB32" s="51">
        <f>BB31-p*LL/1000</f>
        <v>-0.8</v>
      </c>
      <c r="BC32" s="51">
        <f>BC31-p*LL/1000</f>
        <v>-0.8999999999999999</v>
      </c>
      <c r="BD32" s="51"/>
      <c r="BE32" s="52"/>
    </row>
    <row r="33" spans="14:57" ht="12">
      <c r="N33" s="9" t="s">
        <v>35</v>
      </c>
      <c r="O33" s="8" t="s">
        <v>2</v>
      </c>
      <c r="P33" s="8">
        <f>MAX($B$9,$B$71*$B$13)</f>
        <v>1</v>
      </c>
      <c r="Q33" s="50">
        <f aca="true" t="shared" si="29" ref="Q33:AE33">MIN(P33+z*($B$13+$B$14),$B$73)</f>
        <v>1.9</v>
      </c>
      <c r="R33" s="50">
        <f t="shared" si="29"/>
        <v>2.8</v>
      </c>
      <c r="S33" s="50">
        <f t="shared" si="29"/>
        <v>3.6999999999999997</v>
      </c>
      <c r="T33" s="50">
        <f t="shared" si="29"/>
        <v>4.6</v>
      </c>
      <c r="U33" s="50">
        <f t="shared" si="29"/>
        <v>5.5</v>
      </c>
      <c r="V33" s="50">
        <f t="shared" si="29"/>
        <v>5.5</v>
      </c>
      <c r="W33" s="50">
        <f t="shared" si="29"/>
        <v>5.5</v>
      </c>
      <c r="X33" s="50">
        <f t="shared" si="29"/>
        <v>5.5</v>
      </c>
      <c r="Y33" s="50">
        <f t="shared" si="29"/>
        <v>5.5</v>
      </c>
      <c r="Z33" s="50">
        <f t="shared" si="29"/>
        <v>5.5</v>
      </c>
      <c r="AA33" s="50">
        <f t="shared" si="29"/>
        <v>5.5</v>
      </c>
      <c r="AB33" s="50">
        <f t="shared" si="29"/>
        <v>5.5</v>
      </c>
      <c r="AC33" s="50">
        <f t="shared" si="29"/>
        <v>5.5</v>
      </c>
      <c r="AD33" s="50">
        <f t="shared" si="29"/>
        <v>5.5</v>
      </c>
      <c r="AE33" s="50">
        <f t="shared" si="29"/>
        <v>5.5</v>
      </c>
      <c r="AM33" s="1">
        <v>4</v>
      </c>
      <c r="AN33" s="75">
        <f t="shared" si="23"/>
        <v>1.9</v>
      </c>
      <c r="AO33" s="76">
        <f t="shared" si="24"/>
        <v>20.955555</v>
      </c>
      <c r="AP33" s="76">
        <f t="shared" si="25"/>
        <v>20.699272</v>
      </c>
      <c r="AQ33" s="81"/>
      <c r="AR33" s="77"/>
      <c r="AT33" s="1">
        <v>3</v>
      </c>
      <c r="AU33" s="14">
        <f t="shared" si="26"/>
        <v>1.5</v>
      </c>
      <c r="AV33" s="51">
        <f t="shared" si="27"/>
        <v>-0.4249999999999998</v>
      </c>
      <c r="AW33" s="51">
        <f t="shared" si="28"/>
        <v>0.42500000000000016</v>
      </c>
      <c r="AX33" s="52"/>
      <c r="BA33" s="14"/>
      <c r="BB33" s="51"/>
      <c r="BC33" s="51"/>
      <c r="BD33" s="51"/>
      <c r="BE33" s="52"/>
    </row>
    <row r="34" spans="14:57" ht="12">
      <c r="N34" s="8" t="s">
        <v>53</v>
      </c>
      <c r="O34" s="8" t="s">
        <v>2</v>
      </c>
      <c r="P34" s="8">
        <f>P33+$B$14*z</f>
        <v>1</v>
      </c>
      <c r="Q34" s="8">
        <f aca="true" t="shared" si="30" ref="Q34:AE34">z*($B$13+$B$14)</f>
        <v>0.9</v>
      </c>
      <c r="R34" s="8">
        <f t="shared" si="30"/>
        <v>0.9</v>
      </c>
      <c r="S34" s="8">
        <f t="shared" si="30"/>
        <v>0.9</v>
      </c>
      <c r="T34" s="8">
        <f t="shared" si="30"/>
        <v>0.9</v>
      </c>
      <c r="U34" s="8">
        <f t="shared" si="30"/>
        <v>0.9</v>
      </c>
      <c r="V34" s="8">
        <f t="shared" si="30"/>
        <v>0.9</v>
      </c>
      <c r="W34" s="8">
        <f t="shared" si="30"/>
        <v>0.9</v>
      </c>
      <c r="X34" s="8">
        <f t="shared" si="30"/>
        <v>0.9</v>
      </c>
      <c r="Y34" s="8">
        <f t="shared" si="30"/>
        <v>0.9</v>
      </c>
      <c r="Z34" s="8">
        <f t="shared" si="30"/>
        <v>0.9</v>
      </c>
      <c r="AA34" s="8">
        <f t="shared" si="30"/>
        <v>0.9</v>
      </c>
      <c r="AB34" s="8">
        <f t="shared" si="30"/>
        <v>0.9</v>
      </c>
      <c r="AC34" s="8">
        <f t="shared" si="30"/>
        <v>0.9</v>
      </c>
      <c r="AD34" s="8">
        <f t="shared" si="30"/>
        <v>0.9</v>
      </c>
      <c r="AE34" s="8">
        <f t="shared" si="30"/>
        <v>0.9</v>
      </c>
      <c r="AM34" s="1">
        <v>5</v>
      </c>
      <c r="AN34" s="75">
        <f t="shared" si="23"/>
        <v>1.9</v>
      </c>
      <c r="AO34" s="76">
        <f t="shared" si="24"/>
        <v>16.355555</v>
      </c>
      <c r="AP34" s="76">
        <f t="shared" si="25"/>
        <v>15.38917</v>
      </c>
      <c r="AQ34" s="81"/>
      <c r="AR34" s="77"/>
      <c r="AT34" s="1">
        <v>4</v>
      </c>
      <c r="AU34" s="14">
        <f t="shared" si="26"/>
        <v>2</v>
      </c>
      <c r="AV34" s="51">
        <f t="shared" si="27"/>
        <v>0</v>
      </c>
      <c r="AW34" s="51">
        <f t="shared" si="28"/>
        <v>0.8</v>
      </c>
      <c r="AX34" s="52"/>
      <c r="BA34" s="14">
        <v>0</v>
      </c>
      <c r="BB34" s="51"/>
      <c r="BC34" s="51"/>
      <c r="BD34" s="51">
        <f>MAX(BB31,BC31)</f>
        <v>1.2</v>
      </c>
      <c r="BE34" s="52"/>
    </row>
    <row r="35" spans="14:57" ht="12">
      <c r="N35" s="9" t="s">
        <v>36</v>
      </c>
      <c r="O35" s="8" t="s">
        <v>8</v>
      </c>
      <c r="P35" s="8">
        <f aca="true" t="shared" si="31" ref="P35:AE35">$B$70-p*P33/1000</f>
        <v>0.9000000000000001</v>
      </c>
      <c r="Q35" s="8">
        <f t="shared" si="31"/>
        <v>0.7200000000000001</v>
      </c>
      <c r="R35" s="8">
        <f t="shared" si="31"/>
        <v>0.54</v>
      </c>
      <c r="S35" s="8">
        <f t="shared" si="31"/>
        <v>0.3600000000000001</v>
      </c>
      <c r="T35" s="8">
        <f t="shared" si="31"/>
        <v>0.18000000000000016</v>
      </c>
      <c r="U35" s="8">
        <f t="shared" si="31"/>
        <v>0</v>
      </c>
      <c r="V35" s="50">
        <f t="shared" si="31"/>
        <v>0</v>
      </c>
      <c r="W35" s="50">
        <f t="shared" si="31"/>
        <v>0</v>
      </c>
      <c r="X35" s="50">
        <f t="shared" si="31"/>
        <v>0</v>
      </c>
      <c r="Y35" s="50">
        <f t="shared" si="31"/>
        <v>0</v>
      </c>
      <c r="Z35" s="50">
        <f t="shared" si="31"/>
        <v>0</v>
      </c>
      <c r="AA35" s="50">
        <f t="shared" si="31"/>
        <v>0</v>
      </c>
      <c r="AB35" s="50">
        <f t="shared" si="31"/>
        <v>0</v>
      </c>
      <c r="AC35" s="50">
        <f t="shared" si="31"/>
        <v>0</v>
      </c>
      <c r="AD35" s="50">
        <f t="shared" si="31"/>
        <v>0</v>
      </c>
      <c r="AE35" s="50">
        <f t="shared" si="31"/>
        <v>0</v>
      </c>
      <c r="AM35" s="1">
        <v>6</v>
      </c>
      <c r="AN35" s="75">
        <f t="shared" si="23"/>
        <v>2.8</v>
      </c>
      <c r="AO35" s="76">
        <f t="shared" si="24"/>
        <v>16.355555</v>
      </c>
      <c r="AP35" s="76">
        <f t="shared" si="25"/>
        <v>15.38917</v>
      </c>
      <c r="AQ35" s="81"/>
      <c r="AR35" s="77"/>
      <c r="AT35" s="1">
        <v>5</v>
      </c>
      <c r="AU35" s="14">
        <f t="shared" si="26"/>
        <v>2.5</v>
      </c>
      <c r="AV35" s="51">
        <f t="shared" si="27"/>
        <v>0.375</v>
      </c>
      <c r="AW35" s="51">
        <f t="shared" si="28"/>
        <v>1.125</v>
      </c>
      <c r="AX35" s="52"/>
      <c r="BA35" s="14">
        <v>0</v>
      </c>
      <c r="BB35" s="51"/>
      <c r="BC35" s="51"/>
      <c r="BD35" s="51">
        <v>0</v>
      </c>
      <c r="BE35" s="52"/>
    </row>
    <row r="36" spans="14:57" ht="14.25">
      <c r="N36" s="9" t="s">
        <v>57</v>
      </c>
      <c r="O36" s="8" t="s">
        <v>13</v>
      </c>
      <c r="P36" s="10">
        <f aca="true" t="shared" si="32" ref="P36:AE36">P35/z/$B$66/($B$13+$B$14)/SIN($B$79)*10000</f>
        <v>23.000000000000004</v>
      </c>
      <c r="Q36" s="10">
        <f t="shared" si="32"/>
        <v>18.400000000000002</v>
      </c>
      <c r="R36" s="10">
        <f t="shared" si="32"/>
        <v>13.799999999999999</v>
      </c>
      <c r="S36" s="10">
        <f t="shared" si="32"/>
        <v>9.200000000000001</v>
      </c>
      <c r="T36" s="10">
        <f t="shared" si="32"/>
        <v>4.600000000000004</v>
      </c>
      <c r="U36" s="10">
        <f t="shared" si="32"/>
        <v>0</v>
      </c>
      <c r="V36" s="10">
        <f t="shared" si="32"/>
        <v>0</v>
      </c>
      <c r="W36" s="10">
        <f t="shared" si="32"/>
        <v>0</v>
      </c>
      <c r="X36" s="10">
        <f t="shared" si="32"/>
        <v>0</v>
      </c>
      <c r="Y36" s="10">
        <f t="shared" si="32"/>
        <v>0</v>
      </c>
      <c r="Z36" s="10">
        <f t="shared" si="32"/>
        <v>0</v>
      </c>
      <c r="AA36" s="10">
        <f t="shared" si="32"/>
        <v>0</v>
      </c>
      <c r="AB36" s="10">
        <f t="shared" si="32"/>
        <v>0</v>
      </c>
      <c r="AC36" s="10">
        <f t="shared" si="32"/>
        <v>0</v>
      </c>
      <c r="AD36" s="10">
        <f t="shared" si="32"/>
        <v>0</v>
      </c>
      <c r="AE36" s="10">
        <f t="shared" si="32"/>
        <v>0</v>
      </c>
      <c r="AI36"/>
      <c r="AM36" s="1">
        <v>7</v>
      </c>
      <c r="AN36" s="75">
        <f t="shared" si="23"/>
        <v>2.8</v>
      </c>
      <c r="AO36" s="76">
        <f t="shared" si="24"/>
        <v>11.755555</v>
      </c>
      <c r="AP36" s="76">
        <f t="shared" si="25"/>
        <v>9.598121899999999</v>
      </c>
      <c r="AQ36" s="81"/>
      <c r="AR36" s="77"/>
      <c r="AT36" s="1">
        <v>6</v>
      </c>
      <c r="AU36" s="14">
        <f t="shared" si="26"/>
        <v>3</v>
      </c>
      <c r="AV36" s="51">
        <f t="shared" si="27"/>
        <v>0.7000000000000006</v>
      </c>
      <c r="AW36" s="51">
        <f t="shared" si="28"/>
        <v>1.4000000000000006</v>
      </c>
      <c r="AX36" s="52"/>
      <c r="BA36" s="14"/>
      <c r="BB36" s="51"/>
      <c r="BC36" s="51"/>
      <c r="BD36" s="51"/>
      <c r="BE36" s="52"/>
    </row>
    <row r="37" spans="35:57" ht="12">
      <c r="AI37"/>
      <c r="AM37" s="1">
        <v>8</v>
      </c>
      <c r="AN37" s="75">
        <f t="shared" si="23"/>
        <v>3.6999999999999997</v>
      </c>
      <c r="AO37" s="76">
        <f t="shared" si="24"/>
        <v>11.755555</v>
      </c>
      <c r="AP37" s="76">
        <f t="shared" si="25"/>
        <v>9.598121899999999</v>
      </c>
      <c r="AQ37" s="81"/>
      <c r="AR37" s="77"/>
      <c r="AT37" s="1">
        <v>7</v>
      </c>
      <c r="AU37" s="14">
        <f t="shared" si="26"/>
        <v>3.5</v>
      </c>
      <c r="AV37" s="51">
        <f t="shared" si="27"/>
        <v>0.9750000000000003</v>
      </c>
      <c r="AW37" s="51">
        <f t="shared" si="28"/>
        <v>1.6250000000000004</v>
      </c>
      <c r="AX37" s="52"/>
      <c r="BA37" s="14">
        <v>10</v>
      </c>
      <c r="BB37" s="51"/>
      <c r="BC37" s="51"/>
      <c r="BD37" s="51">
        <f>MIN(BB32:BC32)</f>
        <v>-0.8999999999999999</v>
      </c>
      <c r="BE37" s="52"/>
    </row>
    <row r="38" spans="14:57" ht="12">
      <c r="N38" s="15" t="str">
        <f>"Armatures de reprise de bétonnage côté droit sur une longueur : "&amp;ROUND(B73,3)&amp;" m"</f>
        <v>Armatures de reprise de bétonnage côté droit sur une longueur : 5,5 m</v>
      </c>
      <c r="AM38" s="1">
        <v>9</v>
      </c>
      <c r="AN38" s="75">
        <f t="shared" si="23"/>
        <v>3.6999999999999997</v>
      </c>
      <c r="AO38" s="76">
        <f t="shared" si="24"/>
        <v>7.155555499999999</v>
      </c>
      <c r="AP38" s="76">
        <f t="shared" si="25"/>
        <v>3.8172599999999997</v>
      </c>
      <c r="AQ38" s="81"/>
      <c r="AR38" s="77"/>
      <c r="AT38" s="1">
        <v>8</v>
      </c>
      <c r="AU38" s="14">
        <f t="shared" si="26"/>
        <v>4</v>
      </c>
      <c r="AV38" s="51">
        <f t="shared" si="27"/>
        <v>1.2000000000000004</v>
      </c>
      <c r="AW38" s="51">
        <f t="shared" si="28"/>
        <v>1.8000000000000003</v>
      </c>
      <c r="AX38" s="52"/>
      <c r="BA38" s="14">
        <v>10</v>
      </c>
      <c r="BB38" s="51"/>
      <c r="BC38" s="51"/>
      <c r="BD38" s="51">
        <v>0</v>
      </c>
      <c r="BE38" s="52"/>
    </row>
    <row r="39" spans="16:57" ht="12">
      <c r="P39" s="24" t="str">
        <f>P32&amp;"'"</f>
        <v>A'</v>
      </c>
      <c r="Q39" s="24" t="str">
        <f aca="true" t="shared" si="33" ref="Q39:AE39">Q32&amp;"'"</f>
        <v>B'</v>
      </c>
      <c r="R39" s="24" t="str">
        <f t="shared" si="33"/>
        <v>C'</v>
      </c>
      <c r="S39" s="24" t="str">
        <f t="shared" si="33"/>
        <v>D'</v>
      </c>
      <c r="T39" s="24" t="str">
        <f t="shared" si="33"/>
        <v>E'</v>
      </c>
      <c r="U39" s="24" t="str">
        <f t="shared" si="33"/>
        <v>F'</v>
      </c>
      <c r="V39" s="24" t="str">
        <f t="shared" si="33"/>
        <v>G'</v>
      </c>
      <c r="W39" s="24" t="str">
        <f t="shared" si="33"/>
        <v>H'</v>
      </c>
      <c r="X39" s="24" t="str">
        <f t="shared" si="33"/>
        <v>I'</v>
      </c>
      <c r="Y39" s="24" t="str">
        <f t="shared" si="33"/>
        <v>J'</v>
      </c>
      <c r="Z39" s="24" t="str">
        <f t="shared" si="33"/>
        <v>K'</v>
      </c>
      <c r="AA39" s="24" t="str">
        <f t="shared" si="33"/>
        <v>L'</v>
      </c>
      <c r="AB39" s="24" t="str">
        <f t="shared" si="33"/>
        <v>M'</v>
      </c>
      <c r="AC39" s="24" t="str">
        <f t="shared" si="33"/>
        <v>N'</v>
      </c>
      <c r="AD39" s="24" t="str">
        <f t="shared" si="33"/>
        <v>O'</v>
      </c>
      <c r="AE39" s="24" t="str">
        <f t="shared" si="33"/>
        <v>P'</v>
      </c>
      <c r="AM39" s="1">
        <v>10</v>
      </c>
      <c r="AN39" s="75">
        <f t="shared" si="23"/>
        <v>4.6</v>
      </c>
      <c r="AO39" s="76">
        <f t="shared" si="24"/>
        <v>7.155555499999999</v>
      </c>
      <c r="AP39" s="76">
        <f t="shared" si="25"/>
        <v>3.8172599999999997</v>
      </c>
      <c r="AQ39" s="81"/>
      <c r="AR39" s="77"/>
      <c r="AT39" s="1">
        <v>9</v>
      </c>
      <c r="AU39" s="14">
        <f t="shared" si="26"/>
        <v>4.5</v>
      </c>
      <c r="AV39" s="51">
        <f t="shared" si="27"/>
        <v>1.375</v>
      </c>
      <c r="AW39" s="51">
        <f t="shared" si="28"/>
        <v>1.925</v>
      </c>
      <c r="AX39" s="52"/>
      <c r="BA39" s="14"/>
      <c r="BB39" s="51"/>
      <c r="BC39" s="51"/>
      <c r="BD39" s="51"/>
      <c r="BE39" s="52"/>
    </row>
    <row r="40" spans="14:57" ht="12">
      <c r="N40" s="9" t="s">
        <v>35</v>
      </c>
      <c r="O40" s="8" t="s">
        <v>2</v>
      </c>
      <c r="P40" s="8">
        <f>P34/2</f>
        <v>0.5</v>
      </c>
      <c r="Q40" s="8">
        <f aca="true" t="shared" si="34" ref="Q40:AE40">MIN($I$67,P40+z*($B$13+$B$14))</f>
        <v>1.4</v>
      </c>
      <c r="R40" s="8">
        <f t="shared" si="34"/>
        <v>2.3</v>
      </c>
      <c r="S40" s="8">
        <f t="shared" si="34"/>
        <v>3.1999999999999997</v>
      </c>
      <c r="T40" s="8">
        <f t="shared" si="34"/>
        <v>4.1</v>
      </c>
      <c r="U40" s="8">
        <f t="shared" si="34"/>
        <v>5</v>
      </c>
      <c r="V40" s="8">
        <f t="shared" si="34"/>
        <v>5.05</v>
      </c>
      <c r="W40" s="8">
        <f t="shared" si="34"/>
        <v>5.05</v>
      </c>
      <c r="X40" s="8">
        <f t="shared" si="34"/>
        <v>5.05</v>
      </c>
      <c r="Y40" s="8">
        <f t="shared" si="34"/>
        <v>5.05</v>
      </c>
      <c r="Z40" s="8">
        <f t="shared" si="34"/>
        <v>5.05</v>
      </c>
      <c r="AA40" s="8">
        <f t="shared" si="34"/>
        <v>5.05</v>
      </c>
      <c r="AB40" s="8">
        <f t="shared" si="34"/>
        <v>5.05</v>
      </c>
      <c r="AC40" s="8">
        <f t="shared" si="34"/>
        <v>5.05</v>
      </c>
      <c r="AD40" s="8">
        <f t="shared" si="34"/>
        <v>5.05</v>
      </c>
      <c r="AE40" s="8">
        <f t="shared" si="34"/>
        <v>5.05</v>
      </c>
      <c r="AM40" s="1">
        <v>11</v>
      </c>
      <c r="AN40" s="75">
        <f t="shared" si="23"/>
        <v>4.6</v>
      </c>
      <c r="AO40" s="76">
        <f t="shared" si="24"/>
        <v>2.5555555</v>
      </c>
      <c r="AP40" s="76">
        <f t="shared" si="25"/>
        <v>0</v>
      </c>
      <c r="AQ40" s="81"/>
      <c r="AR40" s="77"/>
      <c r="AT40" s="1">
        <v>10</v>
      </c>
      <c r="AU40" s="14">
        <f t="shared" si="26"/>
        <v>5</v>
      </c>
      <c r="AV40" s="51">
        <f t="shared" si="27"/>
        <v>1.5</v>
      </c>
      <c r="AW40" s="51">
        <f t="shared" si="28"/>
        <v>2</v>
      </c>
      <c r="AX40" s="52"/>
      <c r="BA40" s="14">
        <v>0</v>
      </c>
      <c r="BB40" s="51"/>
      <c r="BC40" s="51"/>
      <c r="BD40" s="51"/>
      <c r="BE40" s="52">
        <v>0</v>
      </c>
    </row>
    <row r="41" spans="14:57" ht="12">
      <c r="N41" s="9" t="s">
        <v>36</v>
      </c>
      <c r="O41" s="8" t="s">
        <v>8</v>
      </c>
      <c r="P41" s="8">
        <f>$B$70-p/1000*P40</f>
        <v>1</v>
      </c>
      <c r="Q41" s="8">
        <f aca="true" t="shared" si="35" ref="Q41:AE41">$B$70-$B$4/1000*Q40</f>
        <v>0.8200000000000001</v>
      </c>
      <c r="R41" s="8">
        <f t="shared" si="35"/>
        <v>0.6400000000000001</v>
      </c>
      <c r="S41" s="8">
        <f t="shared" si="35"/>
        <v>0.4600000000000001</v>
      </c>
      <c r="T41" s="8">
        <f t="shared" si="35"/>
        <v>0.28000000000000014</v>
      </c>
      <c r="U41" s="8">
        <f t="shared" si="35"/>
        <v>0.10000000000000009</v>
      </c>
      <c r="V41" s="50">
        <f t="shared" si="35"/>
        <v>0.09000000000000008</v>
      </c>
      <c r="W41" s="50">
        <f t="shared" si="35"/>
        <v>0.09000000000000008</v>
      </c>
      <c r="X41" s="50">
        <f t="shared" si="35"/>
        <v>0.09000000000000008</v>
      </c>
      <c r="Y41" s="50">
        <f t="shared" si="35"/>
        <v>0.09000000000000008</v>
      </c>
      <c r="Z41" s="50">
        <f t="shared" si="35"/>
        <v>0.09000000000000008</v>
      </c>
      <c r="AA41" s="50">
        <f t="shared" si="35"/>
        <v>0.09000000000000008</v>
      </c>
      <c r="AB41" s="50">
        <f t="shared" si="35"/>
        <v>0.09000000000000008</v>
      </c>
      <c r="AC41" s="50">
        <f t="shared" si="35"/>
        <v>0.09000000000000008</v>
      </c>
      <c r="AD41" s="50">
        <f t="shared" si="35"/>
        <v>0.09000000000000008</v>
      </c>
      <c r="AE41" s="50">
        <f t="shared" si="35"/>
        <v>0.09000000000000008</v>
      </c>
      <c r="AM41" s="1">
        <v>12</v>
      </c>
      <c r="AN41" s="75">
        <f t="shared" si="23"/>
        <v>5.5</v>
      </c>
      <c r="AO41" s="76">
        <f t="shared" si="24"/>
        <v>2.5555555</v>
      </c>
      <c r="AP41" s="76">
        <f t="shared" si="25"/>
        <v>0</v>
      </c>
      <c r="AQ41" s="81"/>
      <c r="AR41" s="77"/>
      <c r="AT41" s="1">
        <v>11</v>
      </c>
      <c r="AU41" s="14">
        <f t="shared" si="26"/>
        <v>5.5</v>
      </c>
      <c r="AV41" s="51">
        <f t="shared" si="27"/>
        <v>1.5750000000000002</v>
      </c>
      <c r="AW41" s="51">
        <f t="shared" si="28"/>
        <v>2.0250000000000004</v>
      </c>
      <c r="AX41" s="52"/>
      <c r="BA41" s="53">
        <v>10</v>
      </c>
      <c r="BB41" s="71"/>
      <c r="BC41" s="71"/>
      <c r="BD41" s="71"/>
      <c r="BE41" s="54">
        <v>0</v>
      </c>
    </row>
    <row r="42" spans="14:50" ht="12">
      <c r="N42" s="9" t="s">
        <v>50</v>
      </c>
      <c r="O42" s="8" t="s">
        <v>51</v>
      </c>
      <c r="P42" s="25">
        <f aca="true" t="shared" si="36" ref="P42:AE42">p*P40*(LL-P40)/2000+(1-P40/LL)*$B$23+P40/LL*$C$23</f>
        <v>-0.475</v>
      </c>
      <c r="Q42" s="25">
        <f t="shared" si="36"/>
        <v>0.344</v>
      </c>
      <c r="R42" s="25">
        <f t="shared" si="36"/>
        <v>1.0009999999999997</v>
      </c>
      <c r="S42" s="25">
        <f t="shared" si="36"/>
        <v>1.496</v>
      </c>
      <c r="T42" s="25">
        <f t="shared" si="36"/>
        <v>1.829</v>
      </c>
      <c r="U42" s="25">
        <f t="shared" si="36"/>
        <v>2</v>
      </c>
      <c r="V42" s="25">
        <f t="shared" si="36"/>
        <v>2.00475</v>
      </c>
      <c r="W42" s="25">
        <f t="shared" si="36"/>
        <v>2.00475</v>
      </c>
      <c r="X42" s="25">
        <f t="shared" si="36"/>
        <v>2.00475</v>
      </c>
      <c r="Y42" s="25">
        <f t="shared" si="36"/>
        <v>2.00475</v>
      </c>
      <c r="Z42" s="25">
        <f t="shared" si="36"/>
        <v>2.00475</v>
      </c>
      <c r="AA42" s="25">
        <f t="shared" si="36"/>
        <v>2.00475</v>
      </c>
      <c r="AB42" s="25">
        <f t="shared" si="36"/>
        <v>2.00475</v>
      </c>
      <c r="AC42" s="25">
        <f t="shared" si="36"/>
        <v>2.00475</v>
      </c>
      <c r="AD42" s="25">
        <f t="shared" si="36"/>
        <v>2.00475</v>
      </c>
      <c r="AE42" s="25">
        <f t="shared" si="36"/>
        <v>2.00475</v>
      </c>
      <c r="AM42" s="1">
        <v>13</v>
      </c>
      <c r="AN42" s="75">
        <f t="shared" si="23"/>
        <v>5.5</v>
      </c>
      <c r="AO42" s="76">
        <f t="shared" si="24"/>
        <v>0</v>
      </c>
      <c r="AP42" s="76">
        <f t="shared" si="25"/>
        <v>0</v>
      </c>
      <c r="AQ42" s="81"/>
      <c r="AR42" s="77"/>
      <c r="AT42" s="1">
        <v>12</v>
      </c>
      <c r="AU42" s="14">
        <f t="shared" si="26"/>
        <v>6</v>
      </c>
      <c r="AV42" s="51">
        <f t="shared" si="27"/>
        <v>1.6000000000000003</v>
      </c>
      <c r="AW42" s="51">
        <f t="shared" si="28"/>
        <v>2.0000000000000004</v>
      </c>
      <c r="AX42" s="52"/>
    </row>
    <row r="43" spans="14:50" ht="12">
      <c r="N43" s="27" t="s">
        <v>2</v>
      </c>
      <c r="O43" s="8"/>
      <c r="P43" s="26">
        <f aca="true" t="shared" si="37" ref="P43:AE43">fik(P42,$B$5,$B$7,$B$8,$B$9,$B$10,$B$64,$B$6,2)</f>
        <v>0.09499999999999999</v>
      </c>
      <c r="Q43" s="26">
        <f t="shared" si="37"/>
        <v>0.013759999999999998</v>
      </c>
      <c r="R43" s="26">
        <f t="shared" si="37"/>
        <v>0.040039999999999985</v>
      </c>
      <c r="S43" s="26">
        <f t="shared" si="37"/>
        <v>0.05983999999999999</v>
      </c>
      <c r="T43" s="26">
        <f t="shared" si="37"/>
        <v>0.07316</v>
      </c>
      <c r="U43" s="26">
        <f t="shared" si="37"/>
        <v>0.07999999999999999</v>
      </c>
      <c r="V43" s="26">
        <f t="shared" si="37"/>
        <v>0.08019</v>
      </c>
      <c r="W43" s="26">
        <f t="shared" si="37"/>
        <v>0.08019</v>
      </c>
      <c r="X43" s="26">
        <f t="shared" si="37"/>
        <v>0.08019</v>
      </c>
      <c r="Y43" s="26">
        <f t="shared" si="37"/>
        <v>0.08019</v>
      </c>
      <c r="Z43" s="26">
        <f t="shared" si="37"/>
        <v>0.08019</v>
      </c>
      <c r="AA43" s="26">
        <f t="shared" si="37"/>
        <v>0.08019</v>
      </c>
      <c r="AB43" s="26">
        <f t="shared" si="37"/>
        <v>0.08019</v>
      </c>
      <c r="AC43" s="26">
        <f t="shared" si="37"/>
        <v>0.08019</v>
      </c>
      <c r="AD43" s="26">
        <f t="shared" si="37"/>
        <v>0.08019</v>
      </c>
      <c r="AE43" s="26">
        <f t="shared" si="37"/>
        <v>0.08019</v>
      </c>
      <c r="AM43" s="1">
        <v>14</v>
      </c>
      <c r="AN43" s="75">
        <f t="shared" si="23"/>
        <v>6.3999999999999995</v>
      </c>
      <c r="AO43" s="76">
        <f t="shared" si="24"/>
        <v>0</v>
      </c>
      <c r="AP43" s="76">
        <f t="shared" si="25"/>
        <v>0</v>
      </c>
      <c r="AQ43" s="81"/>
      <c r="AR43" s="77"/>
      <c r="AT43" s="1">
        <v>13</v>
      </c>
      <c r="AU43" s="14">
        <f t="shared" si="26"/>
        <v>6.5</v>
      </c>
      <c r="AV43" s="51">
        <f t="shared" si="27"/>
        <v>1.575</v>
      </c>
      <c r="AW43" s="51">
        <f t="shared" si="28"/>
        <v>1.9249999999999998</v>
      </c>
      <c r="AX43" s="52"/>
    </row>
    <row r="44" spans="14:50" ht="12">
      <c r="N44" s="9" t="s">
        <v>35</v>
      </c>
      <c r="O44" s="8" t="s">
        <v>2</v>
      </c>
      <c r="P44" s="26">
        <f aca="true" t="shared" si="38" ref="P44:AE44">IF(P43&gt;$AM24,$AM23,fik(P42,$B$5,$B$7,$B$8,$B$9,$B$10,$B$64,$B$6,1))</f>
        <v>0.12499999999999997</v>
      </c>
      <c r="Q44" s="26">
        <f t="shared" si="38"/>
        <v>0.017319992861083155</v>
      </c>
      <c r="R44" s="26">
        <f t="shared" si="38"/>
        <v>0.05109424890861414</v>
      </c>
      <c r="S44" s="26">
        <f t="shared" si="38"/>
        <v>0.0771828787061471</v>
      </c>
      <c r="T44" s="26">
        <f t="shared" si="38"/>
        <v>0.09506493689038956</v>
      </c>
      <c r="U44" s="26">
        <f t="shared" si="38"/>
        <v>0.10435607626103988</v>
      </c>
      <c r="V44" s="26">
        <f t="shared" si="38"/>
        <v>0.10461523931911854</v>
      </c>
      <c r="W44" s="26">
        <f t="shared" si="38"/>
        <v>0.10461523931911854</v>
      </c>
      <c r="X44" s="26">
        <f t="shared" si="38"/>
        <v>0.10461523931911854</v>
      </c>
      <c r="Y44" s="26">
        <f t="shared" si="38"/>
        <v>0.10461523931911854</v>
      </c>
      <c r="Z44" s="26">
        <f t="shared" si="38"/>
        <v>0.10461523931911854</v>
      </c>
      <c r="AA44" s="26">
        <f t="shared" si="38"/>
        <v>0.10461523931911854</v>
      </c>
      <c r="AB44" s="26">
        <f t="shared" si="38"/>
        <v>0.10461523931911854</v>
      </c>
      <c r="AC44" s="26">
        <f t="shared" si="38"/>
        <v>0.10461523931911854</v>
      </c>
      <c r="AD44" s="26">
        <f t="shared" si="38"/>
        <v>0.10461523931911854</v>
      </c>
      <c r="AE44" s="26">
        <f t="shared" si="38"/>
        <v>0.10461523931911854</v>
      </c>
      <c r="AM44" s="1">
        <v>15</v>
      </c>
      <c r="AN44" s="75">
        <f t="shared" si="23"/>
        <v>6.3999999999999995</v>
      </c>
      <c r="AO44" s="76">
        <f t="shared" si="24"/>
        <v>0</v>
      </c>
      <c r="AP44" s="76">
        <f t="shared" si="25"/>
        <v>0</v>
      </c>
      <c r="AQ44" s="81"/>
      <c r="AR44" s="77"/>
      <c r="AT44" s="1">
        <v>14</v>
      </c>
      <c r="AU44" s="14">
        <f t="shared" si="26"/>
        <v>7</v>
      </c>
      <c r="AV44" s="51">
        <f t="shared" si="27"/>
        <v>1.5</v>
      </c>
      <c r="AW44" s="51">
        <f t="shared" si="28"/>
        <v>1.8</v>
      </c>
      <c r="AX44" s="52"/>
    </row>
    <row r="45" spans="14:50" ht="12">
      <c r="N45" s="9"/>
      <c r="O45" s="8"/>
      <c r="P45" s="26" t="str">
        <f aca="true" t="shared" si="39" ref="P45:X45">IF(P42&lt;0,"âme",IF(P44&lt;$B$8,"table","âme"))</f>
        <v>âme</v>
      </c>
      <c r="Q45" s="26" t="str">
        <f t="shared" si="39"/>
        <v>table</v>
      </c>
      <c r="R45" s="26" t="str">
        <f t="shared" si="39"/>
        <v>table</v>
      </c>
      <c r="S45" s="26" t="str">
        <f t="shared" si="39"/>
        <v>table</v>
      </c>
      <c r="T45" s="26" t="str">
        <f t="shared" si="39"/>
        <v>table</v>
      </c>
      <c r="U45" s="26" t="str">
        <f t="shared" si="39"/>
        <v>table</v>
      </c>
      <c r="V45" s="26" t="str">
        <f t="shared" si="39"/>
        <v>table</v>
      </c>
      <c r="W45" s="26" t="str">
        <f t="shared" si="39"/>
        <v>table</v>
      </c>
      <c r="X45" s="26" t="str">
        <f t="shared" si="39"/>
        <v>table</v>
      </c>
      <c r="Y45" s="26" t="str">
        <f aca="true" t="shared" si="40" ref="Y45:AE45">IF(Y42&lt;0,"âme",IF(Y44&lt;$B$8,"table","âme"))</f>
        <v>table</v>
      </c>
      <c r="Z45" s="26" t="str">
        <f t="shared" si="40"/>
        <v>table</v>
      </c>
      <c r="AA45" s="26" t="str">
        <f t="shared" si="40"/>
        <v>table</v>
      </c>
      <c r="AB45" s="26" t="str">
        <f t="shared" si="40"/>
        <v>table</v>
      </c>
      <c r="AC45" s="26" t="str">
        <f t="shared" si="40"/>
        <v>table</v>
      </c>
      <c r="AD45" s="26" t="str">
        <f t="shared" si="40"/>
        <v>table</v>
      </c>
      <c r="AE45" s="26" t="str">
        <f t="shared" si="40"/>
        <v>table</v>
      </c>
      <c r="AM45" s="1">
        <v>16</v>
      </c>
      <c r="AN45" s="75">
        <f t="shared" si="23"/>
        <v>6.3999999999999995</v>
      </c>
      <c r="AO45" s="76">
        <f t="shared" si="24"/>
        <v>0</v>
      </c>
      <c r="AP45" s="76">
        <f t="shared" si="25"/>
        <v>0</v>
      </c>
      <c r="AQ45" s="81"/>
      <c r="AR45" s="77"/>
      <c r="AT45" s="1">
        <v>15</v>
      </c>
      <c r="AU45" s="14">
        <f t="shared" si="26"/>
        <v>7.5</v>
      </c>
      <c r="AV45" s="51">
        <f t="shared" si="27"/>
        <v>1.375</v>
      </c>
      <c r="AW45" s="51">
        <f t="shared" si="28"/>
        <v>1.625</v>
      </c>
      <c r="AX45" s="52"/>
    </row>
    <row r="46" spans="14:50" ht="12">
      <c r="N46" s="9" t="s">
        <v>61</v>
      </c>
      <c r="O46" s="8"/>
      <c r="P46" s="26">
        <f aca="true" t="shared" si="41" ref="P46:AE46">fik(P42,$B$5,$B$7,$B$8,$B$9,$B$10,$B$64,$B$6,3)</f>
        <v>0.020869565217391205</v>
      </c>
      <c r="Q46" s="26">
        <f t="shared" si="41"/>
        <v>0.11488996684817912</v>
      </c>
      <c r="R46" s="26">
        <f t="shared" si="41"/>
        <v>0.10475267002923383</v>
      </c>
      <c r="S46" s="26">
        <f t="shared" si="41"/>
        <v>0.09676182585404362</v>
      </c>
      <c r="T46" s="26">
        <f t="shared" si="41"/>
        <v>0.09120171616711066</v>
      </c>
      <c r="U46" s="26">
        <f t="shared" si="41"/>
        <v>0.08828569066905968</v>
      </c>
      <c r="V46" s="26">
        <f t="shared" si="41"/>
        <v>0.0882040840129396</v>
      </c>
      <c r="W46" s="26">
        <f t="shared" si="41"/>
        <v>0.0882040840129396</v>
      </c>
      <c r="X46" s="26">
        <f t="shared" si="41"/>
        <v>0.0882040840129396</v>
      </c>
      <c r="Y46" s="26">
        <f t="shared" si="41"/>
        <v>0.0882040840129396</v>
      </c>
      <c r="Z46" s="26">
        <f t="shared" si="41"/>
        <v>0.0882040840129396</v>
      </c>
      <c r="AA46" s="26">
        <f t="shared" si="41"/>
        <v>0.0882040840129396</v>
      </c>
      <c r="AB46" s="26">
        <f t="shared" si="41"/>
        <v>0.0882040840129396</v>
      </c>
      <c r="AC46" s="26">
        <f t="shared" si="41"/>
        <v>0.0882040840129396</v>
      </c>
      <c r="AD46" s="26">
        <f t="shared" si="41"/>
        <v>0.0882040840129396</v>
      </c>
      <c r="AE46" s="26">
        <f t="shared" si="41"/>
        <v>0.0882040840129396</v>
      </c>
      <c r="AM46" s="1">
        <v>17</v>
      </c>
      <c r="AN46" s="75">
        <f t="shared" si="23"/>
        <v>6.3999999999999995</v>
      </c>
      <c r="AO46" s="76">
        <f t="shared" si="24"/>
        <v>0</v>
      </c>
      <c r="AP46" s="76">
        <f t="shared" si="25"/>
        <v>0</v>
      </c>
      <c r="AQ46" s="81"/>
      <c r="AR46" s="77"/>
      <c r="AT46" s="1">
        <v>16</v>
      </c>
      <c r="AU46" s="14">
        <f t="shared" si="26"/>
        <v>8</v>
      </c>
      <c r="AV46" s="51">
        <f t="shared" si="27"/>
        <v>1.2000000000000002</v>
      </c>
      <c r="AW46" s="51">
        <f t="shared" si="28"/>
        <v>1.4000000000000001</v>
      </c>
      <c r="AX46" s="52"/>
    </row>
    <row r="47" spans="14:50" ht="13.5">
      <c r="N47" s="27" t="s">
        <v>62</v>
      </c>
      <c r="O47" s="8" t="s">
        <v>27</v>
      </c>
      <c r="P47" s="25">
        <f aca="true" t="shared" si="42" ref="P47:AE47">(1-P46)*p/1000/$B$7*$AS$25</f>
        <v>0.6527536231884059</v>
      </c>
      <c r="Q47" s="25">
        <f t="shared" si="42"/>
        <v>0.5900733554345473</v>
      </c>
      <c r="R47" s="25">
        <f t="shared" si="42"/>
        <v>0.5968315533138441</v>
      </c>
      <c r="S47" s="25">
        <f t="shared" si="42"/>
        <v>0.602158782763971</v>
      </c>
      <c r="T47" s="25">
        <f t="shared" si="42"/>
        <v>0.6058655225552595</v>
      </c>
      <c r="U47" s="25">
        <f t="shared" si="42"/>
        <v>0.6078095395539602</v>
      </c>
      <c r="V47" s="25">
        <f t="shared" si="42"/>
        <v>0.6078639439913736</v>
      </c>
      <c r="W47" s="25">
        <f t="shared" si="42"/>
        <v>0.6078639439913736</v>
      </c>
      <c r="X47" s="25">
        <f t="shared" si="42"/>
        <v>0.6078639439913736</v>
      </c>
      <c r="Y47" s="25">
        <f t="shared" si="42"/>
        <v>0.6078639439913736</v>
      </c>
      <c r="Z47" s="25">
        <f t="shared" si="42"/>
        <v>0.6078639439913736</v>
      </c>
      <c r="AA47" s="25">
        <f t="shared" si="42"/>
        <v>0.6078639439913736</v>
      </c>
      <c r="AB47" s="25">
        <f t="shared" si="42"/>
        <v>0.6078639439913736</v>
      </c>
      <c r="AC47" s="25">
        <f t="shared" si="42"/>
        <v>0.6078639439913736</v>
      </c>
      <c r="AD47" s="25">
        <f t="shared" si="42"/>
        <v>0.6078639439913736</v>
      </c>
      <c r="AE47" s="25">
        <f t="shared" si="42"/>
        <v>0.6078639439913736</v>
      </c>
      <c r="AM47" s="1">
        <v>18</v>
      </c>
      <c r="AN47" s="75">
        <f t="shared" si="23"/>
        <v>6.3999999999999995</v>
      </c>
      <c r="AO47" s="76">
        <f t="shared" si="24"/>
        <v>0</v>
      </c>
      <c r="AP47" s="76">
        <f t="shared" si="25"/>
        <v>0</v>
      </c>
      <c r="AQ47" s="81"/>
      <c r="AR47" s="77"/>
      <c r="AT47" s="1">
        <v>17</v>
      </c>
      <c r="AU47" s="14">
        <f t="shared" si="26"/>
        <v>8.5</v>
      </c>
      <c r="AV47" s="51">
        <f t="shared" si="27"/>
        <v>0.9750000000000001</v>
      </c>
      <c r="AW47" s="51">
        <f t="shared" si="28"/>
        <v>1.125</v>
      </c>
      <c r="AX47" s="52"/>
    </row>
    <row r="48" spans="14:50" ht="13.5">
      <c r="N48" s="9" t="s">
        <v>74</v>
      </c>
      <c r="O48" s="8" t="s">
        <v>27</v>
      </c>
      <c r="P48" s="25">
        <f aca="true" t="shared" si="43" ref="P48:AE48">$B$67*$B$65+$B$68*P47</f>
        <v>1.0075362318840582</v>
      </c>
      <c r="Q48" s="25">
        <f t="shared" si="43"/>
        <v>0.9573920176809712</v>
      </c>
      <c r="R48" s="25">
        <f t="shared" si="43"/>
        <v>0.9627985759844085</v>
      </c>
      <c r="S48" s="25">
        <f t="shared" si="43"/>
        <v>0.9670603595445101</v>
      </c>
      <c r="T48" s="25">
        <f t="shared" si="43"/>
        <v>0.9700257513775409</v>
      </c>
      <c r="U48" s="25">
        <f t="shared" si="43"/>
        <v>0.9715809649765015</v>
      </c>
      <c r="V48" s="25">
        <f t="shared" si="43"/>
        <v>0.9716244885264321</v>
      </c>
      <c r="W48" s="25">
        <f t="shared" si="43"/>
        <v>0.9716244885264321</v>
      </c>
      <c r="X48" s="25">
        <f t="shared" si="43"/>
        <v>0.9716244885264321</v>
      </c>
      <c r="Y48" s="25">
        <f t="shared" si="43"/>
        <v>0.9716244885264321</v>
      </c>
      <c r="Z48" s="25">
        <f t="shared" si="43"/>
        <v>0.9716244885264321</v>
      </c>
      <c r="AA48" s="25">
        <f t="shared" si="43"/>
        <v>0.9716244885264321</v>
      </c>
      <c r="AB48" s="25">
        <f t="shared" si="43"/>
        <v>0.9716244885264321</v>
      </c>
      <c r="AC48" s="25">
        <f t="shared" si="43"/>
        <v>0.9716244885264321</v>
      </c>
      <c r="AD48" s="25">
        <f t="shared" si="43"/>
        <v>0.9716244885264321</v>
      </c>
      <c r="AE48" s="25">
        <f t="shared" si="43"/>
        <v>0.9716244885264321</v>
      </c>
      <c r="AM48" s="1">
        <v>19</v>
      </c>
      <c r="AN48" s="75">
        <f t="shared" si="23"/>
        <v>6.3999999999999995</v>
      </c>
      <c r="AO48" s="76">
        <f t="shared" si="24"/>
        <v>0</v>
      </c>
      <c r="AP48" s="76">
        <f t="shared" si="25"/>
        <v>0</v>
      </c>
      <c r="AQ48" s="81"/>
      <c r="AR48" s="77"/>
      <c r="AT48" s="1">
        <v>18</v>
      </c>
      <c r="AU48" s="14">
        <f t="shared" si="26"/>
        <v>9</v>
      </c>
      <c r="AV48" s="51">
        <f t="shared" si="27"/>
        <v>0.7000000000000001</v>
      </c>
      <c r="AW48" s="51">
        <f t="shared" si="28"/>
        <v>0.8</v>
      </c>
      <c r="AX48" s="52"/>
    </row>
    <row r="49" spans="14:50" ht="12">
      <c r="N49" s="27" t="s">
        <v>4</v>
      </c>
      <c r="O49" s="8"/>
      <c r="P49" s="25">
        <f>fik(P42,$B$5,$B$7,$B$8,$B$9,$B$10,$B64,$B$6,4)</f>
        <v>1</v>
      </c>
      <c r="Q49" s="25">
        <f aca="true" t="shared" si="44" ref="Q49:AE49">fik(Q42,$B$5,$B$7,$B$8,$B$9,$B$10,$B$64,$B$6,4)</f>
        <v>1</v>
      </c>
      <c r="R49" s="25">
        <f t="shared" si="44"/>
        <v>1</v>
      </c>
      <c r="S49" s="25">
        <f t="shared" si="44"/>
        <v>1</v>
      </c>
      <c r="T49" s="25">
        <f t="shared" si="44"/>
        <v>1</v>
      </c>
      <c r="U49" s="25">
        <f t="shared" si="44"/>
        <v>1</v>
      </c>
      <c r="V49" s="25">
        <f t="shared" si="44"/>
        <v>1</v>
      </c>
      <c r="W49" s="25">
        <f t="shared" si="44"/>
        <v>1</v>
      </c>
      <c r="X49" s="25">
        <f t="shared" si="44"/>
        <v>1</v>
      </c>
      <c r="Y49" s="25">
        <f t="shared" si="44"/>
        <v>1</v>
      </c>
      <c r="Z49" s="25">
        <f t="shared" si="44"/>
        <v>1</v>
      </c>
      <c r="AA49" s="25">
        <f t="shared" si="44"/>
        <v>1</v>
      </c>
      <c r="AB49" s="25">
        <f t="shared" si="44"/>
        <v>1</v>
      </c>
      <c r="AC49" s="25">
        <f t="shared" si="44"/>
        <v>1</v>
      </c>
      <c r="AD49" s="25">
        <f t="shared" si="44"/>
        <v>1</v>
      </c>
      <c r="AE49" s="25">
        <f t="shared" si="44"/>
        <v>1</v>
      </c>
      <c r="AM49" s="1">
        <v>20</v>
      </c>
      <c r="AN49" s="75">
        <f t="shared" si="23"/>
        <v>6.3999999999999995</v>
      </c>
      <c r="AO49" s="76">
        <f t="shared" si="24"/>
        <v>0</v>
      </c>
      <c r="AP49" s="76">
        <f t="shared" si="25"/>
        <v>0</v>
      </c>
      <c r="AQ49" s="81"/>
      <c r="AR49" s="77"/>
      <c r="AT49" s="1">
        <v>19</v>
      </c>
      <c r="AU49" s="14">
        <f t="shared" si="26"/>
        <v>9.5</v>
      </c>
      <c r="AV49" s="51">
        <f t="shared" si="27"/>
        <v>0.37499999999999994</v>
      </c>
      <c r="AW49" s="51">
        <f t="shared" si="28"/>
        <v>0.425</v>
      </c>
      <c r="AX49" s="52"/>
    </row>
    <row r="50" spans="14:50" ht="13.5">
      <c r="N50" s="9" t="s">
        <v>49</v>
      </c>
      <c r="O50" s="8" t="s">
        <v>27</v>
      </c>
      <c r="P50" s="25">
        <f aca="true" t="shared" si="45" ref="P50:AE50">P49*P41/$B$7/$B$71</f>
        <v>3.7037037037037037</v>
      </c>
      <c r="Q50" s="25">
        <f t="shared" si="45"/>
        <v>3.0370370370370376</v>
      </c>
      <c r="R50" s="25">
        <f t="shared" si="45"/>
        <v>2.3703703703703707</v>
      </c>
      <c r="S50" s="25">
        <f t="shared" si="45"/>
        <v>1.703703703703704</v>
      </c>
      <c r="T50" s="25">
        <f t="shared" si="45"/>
        <v>1.0370370370370374</v>
      </c>
      <c r="U50" s="25">
        <f t="shared" si="45"/>
        <v>0.37037037037037074</v>
      </c>
      <c r="V50" s="25">
        <f t="shared" si="45"/>
        <v>0.33333333333333365</v>
      </c>
      <c r="W50" s="25">
        <f t="shared" si="45"/>
        <v>0.33333333333333365</v>
      </c>
      <c r="X50" s="25">
        <f t="shared" si="45"/>
        <v>0.33333333333333365</v>
      </c>
      <c r="Y50" s="25">
        <f t="shared" si="45"/>
        <v>0.33333333333333365</v>
      </c>
      <c r="Z50" s="25">
        <f t="shared" si="45"/>
        <v>0.33333333333333365</v>
      </c>
      <c r="AA50" s="25">
        <f t="shared" si="45"/>
        <v>0.33333333333333365</v>
      </c>
      <c r="AB50" s="25">
        <f t="shared" si="45"/>
        <v>0.33333333333333365</v>
      </c>
      <c r="AC50" s="25">
        <f t="shared" si="45"/>
        <v>0.33333333333333365</v>
      </c>
      <c r="AD50" s="25">
        <f t="shared" si="45"/>
        <v>0.33333333333333365</v>
      </c>
      <c r="AE50" s="25">
        <f t="shared" si="45"/>
        <v>0.33333333333333365</v>
      </c>
      <c r="AM50" s="1">
        <v>21</v>
      </c>
      <c r="AN50" s="75">
        <f t="shared" si="23"/>
        <v>6.3999999999999995</v>
      </c>
      <c r="AO50" s="76">
        <f t="shared" si="24"/>
        <v>0</v>
      </c>
      <c r="AP50" s="76">
        <f t="shared" si="25"/>
        <v>0</v>
      </c>
      <c r="AQ50" s="80"/>
      <c r="AR50" s="77"/>
      <c r="AT50" s="1">
        <v>20</v>
      </c>
      <c r="AU50" s="14">
        <f t="shared" si="26"/>
        <v>10</v>
      </c>
      <c r="AV50" s="51">
        <f t="shared" si="27"/>
        <v>0</v>
      </c>
      <c r="AW50" s="51">
        <f t="shared" si="28"/>
        <v>0</v>
      </c>
      <c r="AX50" s="52"/>
    </row>
    <row r="51" spans="14:50" ht="14.25">
      <c r="N51" s="9" t="s">
        <v>57</v>
      </c>
      <c r="O51" s="8" t="s">
        <v>13</v>
      </c>
      <c r="P51" s="10">
        <f aca="true" t="shared" si="46" ref="P51:AE51">IF(rbet="non",0,MAX(0,(P50-$I$65-$B$68*P47)/$B$66/($B$68*SIN($B$79)+COS($B$79))*10000*$B$7))</f>
        <v>23.254444444444434</v>
      </c>
      <c r="Q51" s="10">
        <f t="shared" si="46"/>
        <v>17.936938291946067</v>
      </c>
      <c r="R51" s="10">
        <f t="shared" si="46"/>
        <v>12.14030672657892</v>
      </c>
      <c r="S51" s="10">
        <f t="shared" si="46"/>
        <v>6.353548843373044</v>
      </c>
      <c r="T51" s="10">
        <f t="shared" si="46"/>
        <v>0.5779723388131576</v>
      </c>
      <c r="U51" s="10">
        <f t="shared" si="46"/>
        <v>0</v>
      </c>
      <c r="V51" s="10">
        <f t="shared" si="46"/>
        <v>0</v>
      </c>
      <c r="W51" s="10">
        <f t="shared" si="46"/>
        <v>0</v>
      </c>
      <c r="X51" s="10">
        <f t="shared" si="46"/>
        <v>0</v>
      </c>
      <c r="Y51" s="10">
        <f t="shared" si="46"/>
        <v>0</v>
      </c>
      <c r="Z51" s="10">
        <f t="shared" si="46"/>
        <v>0</v>
      </c>
      <c r="AA51" s="10">
        <f t="shared" si="46"/>
        <v>0</v>
      </c>
      <c r="AB51" s="10">
        <f t="shared" si="46"/>
        <v>0</v>
      </c>
      <c r="AC51" s="10">
        <f t="shared" si="46"/>
        <v>0</v>
      </c>
      <c r="AD51" s="10">
        <f t="shared" si="46"/>
        <v>0</v>
      </c>
      <c r="AE51" s="10">
        <f t="shared" si="46"/>
        <v>0</v>
      </c>
      <c r="AM51" s="1">
        <v>22</v>
      </c>
      <c r="AN51" s="75">
        <f t="shared" si="23"/>
        <v>6.3999999999999995</v>
      </c>
      <c r="AO51" s="76">
        <f t="shared" si="24"/>
        <v>0</v>
      </c>
      <c r="AP51" s="76">
        <f t="shared" si="25"/>
        <v>0</v>
      </c>
      <c r="AQ51" s="80"/>
      <c r="AR51" s="77"/>
      <c r="AU51" s="14"/>
      <c r="AV51" s="51"/>
      <c r="AW51" s="51"/>
      <c r="AX51" s="52"/>
    </row>
    <row r="52" spans="39:50" ht="12">
      <c r="AM52" s="1">
        <v>23</v>
      </c>
      <c r="AN52" s="75">
        <f t="shared" si="23"/>
        <v>6.3999999999999995</v>
      </c>
      <c r="AO52" s="76">
        <f t="shared" si="24"/>
        <v>0</v>
      </c>
      <c r="AP52" s="76">
        <f t="shared" si="25"/>
        <v>0</v>
      </c>
      <c r="AQ52" s="80"/>
      <c r="AR52" s="77"/>
      <c r="AU52" s="14">
        <v>0</v>
      </c>
      <c r="AV52" s="51"/>
      <c r="AW52" s="51"/>
      <c r="AX52" s="52">
        <v>0</v>
      </c>
    </row>
    <row r="53" spans="14:50" ht="12">
      <c r="N53" s="15" t="str">
        <f>"Armatures retenues côté droit  sur une longueur : "&amp;ROUND(B73,3)&amp;" m"</f>
        <v>Armatures retenues côté droit  sur une longueur : 5,5 m</v>
      </c>
      <c r="AM53" s="1">
        <v>24</v>
      </c>
      <c r="AN53" s="75">
        <f t="shared" si="23"/>
        <v>6.3999999999999995</v>
      </c>
      <c r="AO53" s="76">
        <f t="shared" si="24"/>
        <v>0</v>
      </c>
      <c r="AP53" s="76">
        <f t="shared" si="25"/>
        <v>0</v>
      </c>
      <c r="AQ53" s="80"/>
      <c r="AR53" s="77"/>
      <c r="AU53" s="53">
        <f>LL</f>
        <v>10</v>
      </c>
      <c r="AV53" s="71"/>
      <c r="AW53" s="71"/>
      <c r="AX53" s="54">
        <v>0</v>
      </c>
    </row>
    <row r="54" spans="14:44" ht="14.25">
      <c r="N54" s="9" t="s">
        <v>57</v>
      </c>
      <c r="O54" s="8" t="s">
        <v>13</v>
      </c>
      <c r="P54" s="10">
        <f aca="true" t="shared" si="47" ref="P54:X54">MAX(P36,P51)</f>
        <v>23.254444444444434</v>
      </c>
      <c r="Q54" s="10">
        <f t="shared" si="47"/>
        <v>18.400000000000002</v>
      </c>
      <c r="R54" s="10">
        <f t="shared" si="47"/>
        <v>13.799999999999999</v>
      </c>
      <c r="S54" s="10">
        <f t="shared" si="47"/>
        <v>9.200000000000001</v>
      </c>
      <c r="T54" s="10">
        <f t="shared" si="47"/>
        <v>4.600000000000004</v>
      </c>
      <c r="U54" s="10">
        <f t="shared" si="47"/>
        <v>0</v>
      </c>
      <c r="V54" s="10">
        <f t="shared" si="47"/>
        <v>0</v>
      </c>
      <c r="W54" s="10">
        <f t="shared" si="47"/>
        <v>0</v>
      </c>
      <c r="X54" s="10">
        <f t="shared" si="47"/>
        <v>0</v>
      </c>
      <c r="Y54" s="10">
        <f aca="true" t="shared" si="48" ref="Y54:AE54">MAX(Y36,Y51)</f>
        <v>0</v>
      </c>
      <c r="Z54" s="10">
        <f t="shared" si="48"/>
        <v>0</v>
      </c>
      <c r="AA54" s="10">
        <f t="shared" si="48"/>
        <v>0</v>
      </c>
      <c r="AB54" s="10">
        <f t="shared" si="48"/>
        <v>0</v>
      </c>
      <c r="AC54" s="10">
        <f t="shared" si="48"/>
        <v>0</v>
      </c>
      <c r="AD54" s="10">
        <f t="shared" si="48"/>
        <v>0</v>
      </c>
      <c r="AE54" s="10">
        <f t="shared" si="48"/>
        <v>0</v>
      </c>
      <c r="AM54" s="1">
        <v>25</v>
      </c>
      <c r="AN54" s="75">
        <f t="shared" si="23"/>
        <v>6.3999999999999995</v>
      </c>
      <c r="AO54" s="76">
        <f t="shared" si="24"/>
        <v>0</v>
      </c>
      <c r="AP54" s="76">
        <f t="shared" si="25"/>
        <v>0</v>
      </c>
      <c r="AQ54" s="80"/>
      <c r="AR54" s="77"/>
    </row>
    <row r="55" spans="39:44" ht="12">
      <c r="AM55" s="1">
        <v>26</v>
      </c>
      <c r="AN55" s="75">
        <f t="shared" si="23"/>
        <v>6.3999999999999995</v>
      </c>
      <c r="AO55" s="76">
        <f t="shared" si="24"/>
        <v>0</v>
      </c>
      <c r="AP55" s="76">
        <f t="shared" si="25"/>
        <v>0</v>
      </c>
      <c r="AQ55" s="80"/>
      <c r="AR55" s="77"/>
    </row>
    <row r="56" spans="19:44" ht="12">
      <c r="S56"/>
      <c r="T56"/>
      <c r="U56"/>
      <c r="V56"/>
      <c r="W56"/>
      <c r="X56"/>
      <c r="Y56"/>
      <c r="Z56"/>
      <c r="AA56"/>
      <c r="AB56"/>
      <c r="AC56"/>
      <c r="AD56"/>
      <c r="AE56"/>
      <c r="AM56" s="1">
        <v>27</v>
      </c>
      <c r="AN56" s="75">
        <f t="shared" si="23"/>
        <v>6.3999999999999995</v>
      </c>
      <c r="AO56" s="76">
        <f t="shared" si="24"/>
        <v>0</v>
      </c>
      <c r="AP56" s="76">
        <f t="shared" si="25"/>
        <v>0</v>
      </c>
      <c r="AQ56" s="80"/>
      <c r="AR56" s="77"/>
    </row>
    <row r="57" spans="15:48" ht="12">
      <c r="O57" s="55" t="s">
        <v>17</v>
      </c>
      <c r="P57" s="13">
        <f>B75+z*B14</f>
        <v>1</v>
      </c>
      <c r="Q57" s="2" t="s">
        <v>157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M57" s="1">
        <v>28</v>
      </c>
      <c r="AN57" s="75">
        <f t="shared" si="23"/>
        <v>6.3999999999999995</v>
      </c>
      <c r="AO57" s="76">
        <f t="shared" si="24"/>
        <v>0</v>
      </c>
      <c r="AP57" s="76">
        <f t="shared" si="25"/>
        <v>0</v>
      </c>
      <c r="AQ57" s="80"/>
      <c r="AR57" s="77"/>
      <c r="AU57" s="16" t="s">
        <v>6</v>
      </c>
      <c r="AV57" s="8"/>
    </row>
    <row r="58" spans="15:48" ht="12">
      <c r="O58" s="56" t="s">
        <v>4</v>
      </c>
      <c r="P58" s="54">
        <f>z*(B13+B14)</f>
        <v>0.9</v>
      </c>
      <c r="Q58" s="2" t="s">
        <v>158</v>
      </c>
      <c r="S58"/>
      <c r="AM58" s="1">
        <v>29</v>
      </c>
      <c r="AN58" s="75">
        <f t="shared" si="23"/>
        <v>6.3999999999999995</v>
      </c>
      <c r="AO58" s="76">
        <f t="shared" si="24"/>
        <v>0</v>
      </c>
      <c r="AP58" s="76">
        <f t="shared" si="25"/>
        <v>0</v>
      </c>
      <c r="AQ58" s="80"/>
      <c r="AR58" s="77"/>
      <c r="AU58" s="16" t="s">
        <v>168</v>
      </c>
      <c r="AV58" s="8">
        <f>B7-2*oo</f>
        <v>0.21999999999999997</v>
      </c>
    </row>
    <row r="59" spans="19:48" ht="12">
      <c r="S59"/>
      <c r="T59"/>
      <c r="U59"/>
      <c r="V59"/>
      <c r="W59"/>
      <c r="X59"/>
      <c r="Y59"/>
      <c r="Z59"/>
      <c r="AA59"/>
      <c r="AB59"/>
      <c r="AC59"/>
      <c r="AD59"/>
      <c r="AE59"/>
      <c r="AM59" s="1">
        <v>30</v>
      </c>
      <c r="AN59" s="75">
        <f t="shared" si="23"/>
        <v>6.3999999999999995</v>
      </c>
      <c r="AO59" s="76">
        <f t="shared" si="24"/>
        <v>0</v>
      </c>
      <c r="AP59" s="76">
        <f t="shared" si="25"/>
        <v>0</v>
      </c>
      <c r="AQ59" s="81"/>
      <c r="AR59" s="77"/>
      <c r="AU59" s="16" t="s">
        <v>4</v>
      </c>
      <c r="AV59" s="8">
        <f>(B5-B7)/2+oo</f>
        <v>0.64</v>
      </c>
    </row>
    <row r="60" spans="19:48" ht="12">
      <c r="S60"/>
      <c r="T60"/>
      <c r="U60"/>
      <c r="V60"/>
      <c r="W60"/>
      <c r="X60"/>
      <c r="Y60"/>
      <c r="Z60"/>
      <c r="AA60"/>
      <c r="AB60"/>
      <c r="AC60"/>
      <c r="AD60"/>
      <c r="AE60"/>
      <c r="AM60" s="1">
        <v>31</v>
      </c>
      <c r="AN60" s="75">
        <f t="shared" si="23"/>
        <v>6.3999999999999995</v>
      </c>
      <c r="AO60" s="76">
        <f t="shared" si="24"/>
        <v>0</v>
      </c>
      <c r="AP60" s="76">
        <f t="shared" si="25"/>
        <v>0</v>
      </c>
      <c r="AQ60" s="81"/>
      <c r="AR60" s="77"/>
      <c r="AU60" s="16" t="s">
        <v>17</v>
      </c>
      <c r="AV60" s="8">
        <f>(B5+B7)/2</f>
        <v>0.9</v>
      </c>
    </row>
    <row r="61" spans="19:47" ht="12">
      <c r="S61"/>
      <c r="T61"/>
      <c r="U61"/>
      <c r="V61"/>
      <c r="W61"/>
      <c r="X61"/>
      <c r="Y61"/>
      <c r="Z61"/>
      <c r="AA61"/>
      <c r="AB61"/>
      <c r="AC61"/>
      <c r="AD61"/>
      <c r="AE61"/>
      <c r="AM61" s="1">
        <v>32</v>
      </c>
      <c r="AN61" s="75">
        <f t="shared" si="23"/>
        <v>6.3999999999999995</v>
      </c>
      <c r="AO61" s="76">
        <f t="shared" si="24"/>
        <v>0</v>
      </c>
      <c r="AP61" s="76">
        <f t="shared" si="25"/>
        <v>0</v>
      </c>
      <c r="AQ61" s="80"/>
      <c r="AR61" s="77"/>
      <c r="AU61" s="2" t="s">
        <v>163</v>
      </c>
    </row>
    <row r="62" spans="19:49" ht="12">
      <c r="S62"/>
      <c r="T62"/>
      <c r="U62"/>
      <c r="V62"/>
      <c r="W62"/>
      <c r="X62"/>
      <c r="Y62"/>
      <c r="Z62"/>
      <c r="AA62"/>
      <c r="AB62"/>
      <c r="AC62"/>
      <c r="AD62"/>
      <c r="AE62"/>
      <c r="AM62" s="1">
        <v>33</v>
      </c>
      <c r="AN62" s="75"/>
      <c r="AO62" s="76"/>
      <c r="AP62" s="76"/>
      <c r="AQ62" s="80"/>
      <c r="AR62" s="77"/>
      <c r="AU62" s="11"/>
      <c r="AV62" s="12" t="s">
        <v>170</v>
      </c>
      <c r="AW62" s="13" t="s">
        <v>169</v>
      </c>
    </row>
    <row r="63" spans="1:49" ht="14.25">
      <c r="A63" s="6" t="s">
        <v>32</v>
      </c>
      <c r="B63" s="41">
        <f>(B12/10)^2*PI()/4*B11</f>
        <v>3.0159289474462017</v>
      </c>
      <c r="C63" s="7" t="s">
        <v>58</v>
      </c>
      <c r="D63" s="7" t="s">
        <v>101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M63"/>
      <c r="AN63" s="79"/>
      <c r="AO63" s="80"/>
      <c r="AP63" s="80"/>
      <c r="AQ63" s="80"/>
      <c r="AR63" s="77"/>
      <c r="AU63" s="14">
        <v>0</v>
      </c>
      <c r="AV63" s="51">
        <f>B6-B8</f>
        <v>0.9800000000000001</v>
      </c>
      <c r="AW63" s="52"/>
    </row>
    <row r="64" spans="1:49" ht="13.5">
      <c r="A64" s="3" t="s">
        <v>24</v>
      </c>
      <c r="B64" s="28">
        <f>G3/G5</f>
        <v>16.666666666666668</v>
      </c>
      <c r="C64" s="2" t="s">
        <v>27</v>
      </c>
      <c r="D64" s="2" t="s">
        <v>86</v>
      </c>
      <c r="H64" s="3" t="s">
        <v>34</v>
      </c>
      <c r="I64" s="98">
        <f>B71*(B14+B13)</f>
        <v>0.9</v>
      </c>
      <c r="J64" s="2" t="s">
        <v>2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M64" s="70">
        <v>1</v>
      </c>
      <c r="AN64" s="75">
        <f aca="true" t="shared" si="49" ref="AN64:AN95">macf(AN$28,AM64)</f>
        <v>10</v>
      </c>
      <c r="AO64" s="81">
        <f aca="true" t="shared" si="50" ref="AO64:AO95">macf(AO$28,AM64)</f>
        <v>23</v>
      </c>
      <c r="AP64" s="81">
        <f aca="true" t="shared" si="51" ref="AP64:AP95">macf(AP$28,AM64)</f>
        <v>23.254444</v>
      </c>
      <c r="AQ64" s="80"/>
      <c r="AR64" s="77"/>
      <c r="AU64" s="14">
        <v>0</v>
      </c>
      <c r="AV64" s="51">
        <f>B6</f>
        <v>1.1</v>
      </c>
      <c r="AW64" s="52"/>
    </row>
    <row r="65" spans="1:49" ht="13.5">
      <c r="A65" s="3" t="s">
        <v>25</v>
      </c>
      <c r="B65" s="20">
        <f>0.7*AM20/G5</f>
        <v>1.2133333333333332</v>
      </c>
      <c r="C65" s="2" t="s">
        <v>27</v>
      </c>
      <c r="D65" s="2" t="s">
        <v>87</v>
      </c>
      <c r="H65" s="3" t="s">
        <v>71</v>
      </c>
      <c r="I65" s="38">
        <f>B65*B67</f>
        <v>0.4853333333333333</v>
      </c>
      <c r="J65" s="2" t="s">
        <v>27</v>
      </c>
      <c r="AM65" s="70">
        <v>2</v>
      </c>
      <c r="AN65" s="75">
        <f t="shared" si="49"/>
        <v>9</v>
      </c>
      <c r="AO65" s="81">
        <f t="shared" si="50"/>
        <v>23</v>
      </c>
      <c r="AP65" s="81">
        <f t="shared" si="51"/>
        <v>23.254444</v>
      </c>
      <c r="AQ65" s="80"/>
      <c r="AR65" s="77"/>
      <c r="AU65" s="14">
        <f>B5</f>
        <v>1.5</v>
      </c>
      <c r="AV65" s="51">
        <f>AV64</f>
        <v>1.1</v>
      </c>
      <c r="AW65" s="52"/>
    </row>
    <row r="66" spans="1:49" ht="13.5">
      <c r="A66" s="3" t="s">
        <v>26</v>
      </c>
      <c r="B66" s="28">
        <f>G4/G6</f>
        <v>434.7826086956522</v>
      </c>
      <c r="C66" s="2" t="s">
        <v>27</v>
      </c>
      <c r="D66" s="2" t="s">
        <v>88</v>
      </c>
      <c r="H66" s="30" t="s">
        <v>124</v>
      </c>
      <c r="I66" s="21">
        <f>B72-0.5*I$64</f>
        <v>5.55</v>
      </c>
      <c r="J66" s="2" t="s">
        <v>2</v>
      </c>
      <c r="AM66" s="70">
        <v>3</v>
      </c>
      <c r="AN66" s="75">
        <f t="shared" si="49"/>
        <v>9</v>
      </c>
      <c r="AO66" s="81">
        <f t="shared" si="50"/>
        <v>18.4</v>
      </c>
      <c r="AP66" s="81">
        <f t="shared" si="51"/>
        <v>17.936937999999998</v>
      </c>
      <c r="AQ66" s="80"/>
      <c r="AR66" s="77"/>
      <c r="AU66" s="14">
        <f>AU65</f>
        <v>1.5</v>
      </c>
      <c r="AV66" s="51">
        <f>AV63</f>
        <v>0.9800000000000001</v>
      </c>
      <c r="AW66" s="52"/>
    </row>
    <row r="67" spans="1:49" ht="13.5">
      <c r="A67" s="17" t="s">
        <v>48</v>
      </c>
      <c r="B67" s="21">
        <f>IF($B16=$I17,J17,IF($B16=$I18,J18,IF($B16=I19,J19,J20)))</f>
        <v>0.4</v>
      </c>
      <c r="D67" s="2" t="s">
        <v>89</v>
      </c>
      <c r="H67" s="30" t="s">
        <v>124</v>
      </c>
      <c r="I67" s="22">
        <f>B73-0.5*I$64</f>
        <v>5.05</v>
      </c>
      <c r="J67" s="2" t="s">
        <v>2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I67"/>
      <c r="AJ67"/>
      <c r="AM67" s="70">
        <v>4</v>
      </c>
      <c r="AN67" s="75">
        <f t="shared" si="49"/>
        <v>8.1</v>
      </c>
      <c r="AO67" s="81">
        <f t="shared" si="50"/>
        <v>18.4</v>
      </c>
      <c r="AP67" s="81">
        <f t="shared" si="51"/>
        <v>17.936937999999998</v>
      </c>
      <c r="AQ67" s="80"/>
      <c r="AR67" s="77"/>
      <c r="AU67" s="14">
        <f>AV60</f>
        <v>0.9</v>
      </c>
      <c r="AV67" s="51">
        <f>AV63</f>
        <v>0.9800000000000001</v>
      </c>
      <c r="AW67" s="52"/>
    </row>
    <row r="68" spans="1:49" ht="12">
      <c r="A68" s="18" t="s">
        <v>2</v>
      </c>
      <c r="B68" s="21">
        <f>IF($B16=$I17,K17,IF($B16=$I18,K18,IF($B16=J19,K19,K20)))</f>
        <v>0.8</v>
      </c>
      <c r="D68" s="2" t="s">
        <v>90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I68"/>
      <c r="AJ68"/>
      <c r="AM68" s="70">
        <v>5</v>
      </c>
      <c r="AN68" s="75">
        <f t="shared" si="49"/>
        <v>8.1</v>
      </c>
      <c r="AO68" s="81">
        <f t="shared" si="50"/>
        <v>13.799999999999999</v>
      </c>
      <c r="AP68" s="81">
        <f t="shared" si="51"/>
        <v>12.140305999999999</v>
      </c>
      <c r="AQ68" s="80"/>
      <c r="AR68" s="77"/>
      <c r="AU68" s="14">
        <f>AU67</f>
        <v>0.9</v>
      </c>
      <c r="AV68" s="51">
        <v>0</v>
      </c>
      <c r="AW68" s="52"/>
    </row>
    <row r="69" spans="1:49" ht="13.5">
      <c r="A69" s="3" t="s">
        <v>118</v>
      </c>
      <c r="B69" s="21">
        <f>p*LL/2/1000-(B22-C22)/LL</f>
        <v>1.2</v>
      </c>
      <c r="C69" s="2" t="s">
        <v>8</v>
      </c>
      <c r="D69" s="2" t="s">
        <v>112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I69"/>
      <c r="AJ69"/>
      <c r="AM69" s="70">
        <v>6</v>
      </c>
      <c r="AN69" s="75">
        <f t="shared" si="49"/>
        <v>7.199999999999999</v>
      </c>
      <c r="AO69" s="81">
        <f t="shared" si="50"/>
        <v>13.799999999999999</v>
      </c>
      <c r="AP69" s="81">
        <f t="shared" si="51"/>
        <v>12.140305999999999</v>
      </c>
      <c r="AQ69" s="80"/>
      <c r="AR69" s="77"/>
      <c r="AU69" s="14">
        <f>B5-AU68</f>
        <v>0.6</v>
      </c>
      <c r="AV69" s="51">
        <v>0</v>
      </c>
      <c r="AW69" s="52"/>
    </row>
    <row r="70" spans="1:49" ht="13.5">
      <c r="A70" s="3" t="s">
        <v>119</v>
      </c>
      <c r="B70" s="21">
        <f>p*LL/2/1000-(B23-C23)/LL</f>
        <v>1.1</v>
      </c>
      <c r="C70" s="2" t="s">
        <v>8</v>
      </c>
      <c r="D70" s="2" t="s">
        <v>120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I70"/>
      <c r="AJ70"/>
      <c r="AM70" s="70">
        <v>7</v>
      </c>
      <c r="AN70" s="75">
        <f t="shared" si="49"/>
        <v>7.199999999999999</v>
      </c>
      <c r="AO70" s="81">
        <f t="shared" si="50"/>
        <v>9.2</v>
      </c>
      <c r="AP70" s="81">
        <f t="shared" si="51"/>
        <v>6.3535487999999996</v>
      </c>
      <c r="AQ70" s="80"/>
      <c r="AR70" s="77"/>
      <c r="AU70" s="14">
        <f>AU69</f>
        <v>0.6</v>
      </c>
      <c r="AV70" s="51">
        <f>AV63</f>
        <v>0.9800000000000001</v>
      </c>
      <c r="AW70" s="52"/>
    </row>
    <row r="71" spans="1:49" ht="12">
      <c r="A71" s="3" t="s">
        <v>9</v>
      </c>
      <c r="B71" s="21">
        <f>0.9*B9</f>
        <v>0.9</v>
      </c>
      <c r="D71" s="2" t="s">
        <v>91</v>
      </c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I71"/>
      <c r="AJ71"/>
      <c r="AM71" s="70">
        <v>8</v>
      </c>
      <c r="AN71" s="75">
        <f t="shared" si="49"/>
        <v>6.3</v>
      </c>
      <c r="AO71" s="81">
        <f t="shared" si="50"/>
        <v>9.2</v>
      </c>
      <c r="AP71" s="81">
        <f t="shared" si="51"/>
        <v>6.3535487999999996</v>
      </c>
      <c r="AQ71" s="81"/>
      <c r="AR71" s="77"/>
      <c r="AU71" s="14">
        <v>0</v>
      </c>
      <c r="AV71" s="51">
        <f>AV70</f>
        <v>0.9800000000000001</v>
      </c>
      <c r="AW71" s="52"/>
    </row>
    <row r="72" spans="1:49" ht="13.5">
      <c r="A72" s="3" t="s">
        <v>113</v>
      </c>
      <c r="B72" s="21">
        <f>LL/2+(C22-B22)/LL/(p/1000)</f>
        <v>6</v>
      </c>
      <c r="C72" s="2" t="s">
        <v>2</v>
      </c>
      <c r="D72" s="49" t="s">
        <v>114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I72"/>
      <c r="AJ72"/>
      <c r="AM72" s="70">
        <v>9</v>
      </c>
      <c r="AN72" s="75">
        <f t="shared" si="49"/>
        <v>6.3</v>
      </c>
      <c r="AO72" s="81">
        <f t="shared" si="50"/>
        <v>4.6</v>
      </c>
      <c r="AP72" s="81">
        <f t="shared" si="51"/>
        <v>0.57797233</v>
      </c>
      <c r="AQ72" s="80"/>
      <c r="AR72" s="77"/>
      <c r="AT72" s="8">
        <v>0.04</v>
      </c>
      <c r="AU72" s="14"/>
      <c r="AV72" s="51"/>
      <c r="AW72" s="52"/>
    </row>
    <row r="73" spans="1:49" ht="13.5">
      <c r="A73" s="3" t="s">
        <v>116</v>
      </c>
      <c r="B73" s="21">
        <f>LL/2+(C23-B23)/LL/(p/1000)</f>
        <v>5.5</v>
      </c>
      <c r="C73" s="2" t="s">
        <v>2</v>
      </c>
      <c r="D73" s="49" t="s">
        <v>115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I73"/>
      <c r="AJ73"/>
      <c r="AM73" s="70">
        <v>10</v>
      </c>
      <c r="AN73" s="75">
        <f t="shared" si="49"/>
        <v>5.3999999999999995</v>
      </c>
      <c r="AO73" s="81">
        <f t="shared" si="50"/>
        <v>4.6</v>
      </c>
      <c r="AP73" s="81">
        <f t="shared" si="51"/>
        <v>0.57797233</v>
      </c>
      <c r="AQ73" s="81"/>
      <c r="AR73" s="77"/>
      <c r="AT73" s="1">
        <v>1</v>
      </c>
      <c r="AU73" s="14">
        <f>AV$59+AV$58*(AT73-1)/(B$11-1)</f>
        <v>0.64</v>
      </c>
      <c r="AV73" s="51"/>
      <c r="AW73" s="52">
        <f>oo</f>
        <v>0.04</v>
      </c>
    </row>
    <row r="74" spans="1:49" ht="12">
      <c r="A74" s="3" t="s">
        <v>12</v>
      </c>
      <c r="B74" s="21">
        <f>B71*(B13+B14)</f>
        <v>0.9</v>
      </c>
      <c r="C74" s="2" t="s">
        <v>2</v>
      </c>
      <c r="D74" s="31" t="str">
        <f>"décalage de la courbe V :"&amp;IF(B74&gt;B9," &gt; "," &lt; ")&amp;"d = "&amp;B9</f>
        <v>décalage de la courbe V : &lt; d = 1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I74"/>
      <c r="AJ74"/>
      <c r="AM74" s="70">
        <v>11</v>
      </c>
      <c r="AN74" s="75">
        <f t="shared" si="49"/>
        <v>5.3999999999999995</v>
      </c>
      <c r="AO74" s="81">
        <f t="shared" si="50"/>
        <v>0</v>
      </c>
      <c r="AP74" s="81">
        <f t="shared" si="51"/>
        <v>0</v>
      </c>
      <c r="AQ74" s="81"/>
      <c r="AR74" s="77"/>
      <c r="AU74" s="14">
        <f>AU73</f>
        <v>0.64</v>
      </c>
      <c r="AV74" s="51"/>
      <c r="AW74" s="52">
        <f>B$6-oo</f>
        <v>1.06</v>
      </c>
    </row>
    <row r="75" spans="1:49" ht="13.5">
      <c r="A75" s="3" t="s">
        <v>42</v>
      </c>
      <c r="B75" s="21">
        <f>MAX(B9,B71*B13)</f>
        <v>1</v>
      </c>
      <c r="C75" s="2" t="s">
        <v>2</v>
      </c>
      <c r="D75" s="2" t="s">
        <v>29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I75"/>
      <c r="AJ75"/>
      <c r="AM75" s="70">
        <v>12</v>
      </c>
      <c r="AN75" s="75">
        <f t="shared" si="49"/>
        <v>4.5</v>
      </c>
      <c r="AO75" s="81">
        <f t="shared" si="50"/>
        <v>0</v>
      </c>
      <c r="AP75" s="81">
        <f t="shared" si="51"/>
        <v>0</v>
      </c>
      <c r="AQ75" s="81"/>
      <c r="AR75" s="77"/>
      <c r="AU75" s="14"/>
      <c r="AV75" s="51"/>
      <c r="AW75" s="52"/>
    </row>
    <row r="76" spans="1:49" ht="13.5">
      <c r="A76" s="3" t="s">
        <v>117</v>
      </c>
      <c r="B76" s="21">
        <f>B69-p*B$75/1000</f>
        <v>1</v>
      </c>
      <c r="C76" s="2" t="s">
        <v>8</v>
      </c>
      <c r="D76" s="5" t="s">
        <v>122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I76"/>
      <c r="AJ76"/>
      <c r="AM76" s="70">
        <v>13</v>
      </c>
      <c r="AN76" s="75">
        <f t="shared" si="49"/>
        <v>4.5</v>
      </c>
      <c r="AO76" s="81">
        <f t="shared" si="50"/>
        <v>0</v>
      </c>
      <c r="AP76" s="81">
        <f t="shared" si="51"/>
        <v>0</v>
      </c>
      <c r="AQ76" s="81"/>
      <c r="AR76" s="77"/>
      <c r="AT76" s="1">
        <v>2</v>
      </c>
      <c r="AU76" s="14">
        <f>AV$59+AV$58*(AT76-1)/(B$11-1)</f>
        <v>0.684</v>
      </c>
      <c r="AV76" s="51"/>
      <c r="AW76" s="52">
        <f>oo</f>
        <v>0.04</v>
      </c>
    </row>
    <row r="77" spans="1:49" ht="13.5">
      <c r="A77" s="3" t="s">
        <v>121</v>
      </c>
      <c r="B77" s="21">
        <f>B70-p*B$75/1000</f>
        <v>0.9000000000000001</v>
      </c>
      <c r="C77" s="2" t="s">
        <v>8</v>
      </c>
      <c r="D77" s="5" t="s">
        <v>123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M77" s="70">
        <v>14</v>
      </c>
      <c r="AN77" s="75">
        <f t="shared" si="49"/>
        <v>4.5</v>
      </c>
      <c r="AO77" s="81">
        <f t="shared" si="50"/>
        <v>0</v>
      </c>
      <c r="AP77" s="81">
        <f t="shared" si="51"/>
        <v>0</v>
      </c>
      <c r="AQ77" s="81"/>
      <c r="AR77" s="77"/>
      <c r="AU77" s="14">
        <f>AU76</f>
        <v>0.684</v>
      </c>
      <c r="AV77" s="51"/>
      <c r="AW77" s="52">
        <f>B$6-oo</f>
        <v>1.06</v>
      </c>
    </row>
    <row r="78" spans="1:49" ht="12">
      <c r="A78" s="4" t="s">
        <v>16</v>
      </c>
      <c r="B78" s="19">
        <f>ATAN(1/B13)</f>
        <v>0.7853981633974483</v>
      </c>
      <c r="C78" s="2" t="s">
        <v>28</v>
      </c>
      <c r="D78" s="2" t="s">
        <v>92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M78" s="70">
        <v>15</v>
      </c>
      <c r="AN78" s="75">
        <f t="shared" si="49"/>
        <v>4.5</v>
      </c>
      <c r="AO78" s="81">
        <f t="shared" si="50"/>
        <v>0</v>
      </c>
      <c r="AP78" s="81">
        <f t="shared" si="51"/>
        <v>0</v>
      </c>
      <c r="AQ78" s="81"/>
      <c r="AR78" s="77"/>
      <c r="AU78" s="14"/>
      <c r="AV78" s="51"/>
      <c r="AW78" s="52"/>
    </row>
    <row r="79" spans="1:49" ht="12">
      <c r="A79" s="4" t="s">
        <v>17</v>
      </c>
      <c r="B79" s="19">
        <f>IF(B14=0,PI()/2,ATAN(1/B14))</f>
        <v>1.5707963267948966</v>
      </c>
      <c r="C79" s="2" t="s">
        <v>28</v>
      </c>
      <c r="D79" s="2" t="s">
        <v>93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M79" s="70">
        <v>16</v>
      </c>
      <c r="AN79" s="75">
        <f t="shared" si="49"/>
        <v>4.5</v>
      </c>
      <c r="AO79" s="81">
        <f t="shared" si="50"/>
        <v>0</v>
      </c>
      <c r="AP79" s="81">
        <f t="shared" si="51"/>
        <v>0</v>
      </c>
      <c r="AQ79" s="81"/>
      <c r="AR79" s="77"/>
      <c r="AT79" s="1">
        <f>IF(AT76+1&gt;B$11,AT76,AT76+1)</f>
        <v>3</v>
      </c>
      <c r="AU79" s="14">
        <f>AV$59+AV$58*(AT79-1)/(B$11-1)</f>
        <v>0.728</v>
      </c>
      <c r="AV79" s="51"/>
      <c r="AW79" s="52">
        <f>oo</f>
        <v>0.04</v>
      </c>
    </row>
    <row r="80" spans="1:49" ht="13.5">
      <c r="A80" s="3" t="s">
        <v>19</v>
      </c>
      <c r="B80" s="21">
        <f>MIN(0.75*B9,B63/B81)</f>
        <v>0.75</v>
      </c>
      <c r="C80" s="2" t="s">
        <v>2</v>
      </c>
      <c r="D80" s="2" t="s">
        <v>125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M80" s="70">
        <v>17</v>
      </c>
      <c r="AN80" s="75">
        <f t="shared" si="49"/>
        <v>4.5</v>
      </c>
      <c r="AO80" s="81">
        <f t="shared" si="50"/>
        <v>0</v>
      </c>
      <c r="AP80" s="81">
        <f t="shared" si="51"/>
        <v>0</v>
      </c>
      <c r="AQ80" s="81"/>
      <c r="AR80" s="77"/>
      <c r="AU80" s="14">
        <f>AU79</f>
        <v>0.728</v>
      </c>
      <c r="AV80" s="51"/>
      <c r="AW80" s="52">
        <f>B$6-oo</f>
        <v>1.06</v>
      </c>
    </row>
    <row r="81" spans="1:49" ht="14.25">
      <c r="A81" s="3" t="s">
        <v>18</v>
      </c>
      <c r="B81" s="20">
        <f>0.08*SQRT(G3)/G4*B7*10000</f>
        <v>2.4</v>
      </c>
      <c r="C81" s="2" t="s">
        <v>13</v>
      </c>
      <c r="D81" s="2" t="s">
        <v>126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M81" s="70">
        <v>18</v>
      </c>
      <c r="AN81" s="75">
        <f t="shared" si="49"/>
        <v>4.5</v>
      </c>
      <c r="AO81" s="81">
        <f t="shared" si="50"/>
        <v>0</v>
      </c>
      <c r="AP81" s="81">
        <f t="shared" si="51"/>
        <v>0</v>
      </c>
      <c r="AQ81" s="81"/>
      <c r="AR81" s="77"/>
      <c r="AU81" s="14"/>
      <c r="AV81" s="51"/>
      <c r="AW81" s="52"/>
    </row>
    <row r="82" spans="1:49" ht="14.25">
      <c r="A82" s="3" t="s">
        <v>128</v>
      </c>
      <c r="B82" s="20">
        <f>B63/B80</f>
        <v>4.0212385965949355</v>
      </c>
      <c r="C82" s="2" t="s">
        <v>13</v>
      </c>
      <c r="D82" s="2" t="s">
        <v>127</v>
      </c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M82" s="70">
        <v>19</v>
      </c>
      <c r="AN82" s="75">
        <f t="shared" si="49"/>
        <v>4.5</v>
      </c>
      <c r="AO82" s="81">
        <f t="shared" si="50"/>
        <v>0</v>
      </c>
      <c r="AP82" s="81">
        <f t="shared" si="51"/>
        <v>0</v>
      </c>
      <c r="AQ82" s="81"/>
      <c r="AR82" s="77"/>
      <c r="AT82" s="1">
        <f>IF(AT79+1&gt;B$11,AT79,AT79+1)</f>
        <v>4</v>
      </c>
      <c r="AU82" s="14">
        <f>AV$59+AV$58*(AT82-1)/(B$11-1)</f>
        <v>0.772</v>
      </c>
      <c r="AV82" s="51"/>
      <c r="AW82" s="52">
        <f>oo</f>
        <v>0.04</v>
      </c>
    </row>
    <row r="83" spans="1:49" ht="13.5">
      <c r="A83" s="3" t="s">
        <v>128</v>
      </c>
      <c r="B83" s="99">
        <f>MAX(B81:B82)</f>
        <v>4.0212385965949355</v>
      </c>
      <c r="C83" s="2" t="s">
        <v>13</v>
      </c>
      <c r="D83" s="5" t="s">
        <v>129</v>
      </c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M83" s="70">
        <v>20</v>
      </c>
      <c r="AN83" s="75">
        <f t="shared" si="49"/>
        <v>4.5</v>
      </c>
      <c r="AO83" s="81">
        <f t="shared" si="50"/>
        <v>0</v>
      </c>
      <c r="AP83" s="81">
        <f t="shared" si="51"/>
        <v>0</v>
      </c>
      <c r="AQ83" s="81"/>
      <c r="AR83" s="77"/>
      <c r="AU83" s="14">
        <f>AU82</f>
        <v>0.772</v>
      </c>
      <c r="AV83" s="51"/>
      <c r="AW83" s="52">
        <f>B$6-oo</f>
        <v>1.06</v>
      </c>
    </row>
    <row r="84" spans="22:49" ht="12"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M84" s="70">
        <v>21</v>
      </c>
      <c r="AN84" s="75">
        <f t="shared" si="49"/>
        <v>4.5</v>
      </c>
      <c r="AO84" s="81">
        <f t="shared" si="50"/>
        <v>0</v>
      </c>
      <c r="AP84" s="81">
        <f t="shared" si="51"/>
        <v>0</v>
      </c>
      <c r="AQ84" s="81"/>
      <c r="AR84" s="77"/>
      <c r="AU84" s="14"/>
      <c r="AV84" s="51"/>
      <c r="AW84" s="52"/>
    </row>
    <row r="85" spans="4:49" ht="12">
      <c r="D85" s="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M85" s="70">
        <v>22</v>
      </c>
      <c r="AN85" s="75">
        <f t="shared" si="49"/>
        <v>4.5</v>
      </c>
      <c r="AO85" s="81">
        <f t="shared" si="50"/>
        <v>0</v>
      </c>
      <c r="AP85" s="81">
        <f t="shared" si="51"/>
        <v>0</v>
      </c>
      <c r="AQ85" s="81"/>
      <c r="AR85" s="77"/>
      <c r="AT85" s="1">
        <f>IF(AT82+1&gt;B$11,AT82,AT82+1)</f>
        <v>5</v>
      </c>
      <c r="AU85" s="14">
        <f>AV$59+AV$58*(AT85-1)/(B$11-1)</f>
        <v>0.8160000000000001</v>
      </c>
      <c r="AV85" s="51"/>
      <c r="AW85" s="52">
        <f>oo</f>
        <v>0.04</v>
      </c>
    </row>
    <row r="86" spans="4:49" ht="12">
      <c r="D86" s="5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M86" s="70">
        <v>23</v>
      </c>
      <c r="AN86" s="75">
        <f t="shared" si="49"/>
        <v>4.5</v>
      </c>
      <c r="AO86" s="81">
        <f t="shared" si="50"/>
        <v>0</v>
      </c>
      <c r="AP86" s="81">
        <f t="shared" si="51"/>
        <v>0</v>
      </c>
      <c r="AQ86" s="81"/>
      <c r="AR86" s="77"/>
      <c r="AU86" s="14">
        <f>AU85</f>
        <v>0.8160000000000001</v>
      </c>
      <c r="AV86" s="51"/>
      <c r="AW86" s="52">
        <f>B$6-oo</f>
        <v>1.06</v>
      </c>
    </row>
    <row r="87" spans="22:49" ht="12"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M87" s="70">
        <v>24</v>
      </c>
      <c r="AN87" s="75">
        <f t="shared" si="49"/>
        <v>4.5</v>
      </c>
      <c r="AO87" s="81">
        <f t="shared" si="50"/>
        <v>0</v>
      </c>
      <c r="AP87" s="81">
        <f t="shared" si="51"/>
        <v>0</v>
      </c>
      <c r="AQ87" s="81"/>
      <c r="AR87" s="77"/>
      <c r="AU87" s="14"/>
      <c r="AV87" s="51"/>
      <c r="AW87" s="52"/>
    </row>
    <row r="88" spans="22:49" ht="12"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M88" s="70">
        <v>25</v>
      </c>
      <c r="AN88" s="75">
        <f t="shared" si="49"/>
        <v>4.5</v>
      </c>
      <c r="AO88" s="81">
        <f t="shared" si="50"/>
        <v>0</v>
      </c>
      <c r="AP88" s="81">
        <f t="shared" si="51"/>
        <v>0</v>
      </c>
      <c r="AQ88" s="81"/>
      <c r="AR88" s="77"/>
      <c r="AT88" s="1">
        <f>IF(AT85+1&gt;B$11,AT85,AT85+1)</f>
        <v>6</v>
      </c>
      <c r="AU88" s="14">
        <f>AV$59+AV$58*(AT88-1)/(B$11-1)</f>
        <v>0.86</v>
      </c>
      <c r="AV88" s="51"/>
      <c r="AW88" s="52">
        <f>oo</f>
        <v>0.04</v>
      </c>
    </row>
    <row r="89" spans="22:49" ht="12"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M89" s="70">
        <v>26</v>
      </c>
      <c r="AN89" s="75">
        <f t="shared" si="49"/>
        <v>4.5</v>
      </c>
      <c r="AO89" s="81">
        <f t="shared" si="50"/>
        <v>0</v>
      </c>
      <c r="AP89" s="81">
        <f t="shared" si="51"/>
        <v>0</v>
      </c>
      <c r="AQ89" s="81"/>
      <c r="AR89" s="77"/>
      <c r="AU89" s="14">
        <f>AU88</f>
        <v>0.86</v>
      </c>
      <c r="AV89" s="51"/>
      <c r="AW89" s="52">
        <f>B$6-oo</f>
        <v>1.06</v>
      </c>
    </row>
    <row r="90" spans="4:49" ht="12">
      <c r="D90" s="5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M90" s="70">
        <v>27</v>
      </c>
      <c r="AN90" s="75">
        <f t="shared" si="49"/>
        <v>4.5</v>
      </c>
      <c r="AO90" s="81">
        <f t="shared" si="50"/>
        <v>0</v>
      </c>
      <c r="AP90" s="81">
        <f t="shared" si="51"/>
        <v>0</v>
      </c>
      <c r="AQ90" s="81"/>
      <c r="AR90" s="77"/>
      <c r="AU90" s="14"/>
      <c r="AV90" s="51"/>
      <c r="AW90" s="52"/>
    </row>
    <row r="91" spans="4:49" ht="12">
      <c r="D91" s="5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M91" s="70">
        <v>28</v>
      </c>
      <c r="AN91" s="75">
        <f t="shared" si="49"/>
        <v>4.5</v>
      </c>
      <c r="AO91" s="81">
        <f t="shared" si="50"/>
        <v>0</v>
      </c>
      <c r="AP91" s="81">
        <f t="shared" si="51"/>
        <v>0</v>
      </c>
      <c r="AQ91" s="81"/>
      <c r="AR91" s="77"/>
      <c r="AT91" s="1">
        <f>IF(AT88+1&gt;B$11,AT88,AT88+1)</f>
        <v>6</v>
      </c>
      <c r="AU91" s="14">
        <f>AV$59+AV$58*(AT91-1)/(B$11-1)</f>
        <v>0.86</v>
      </c>
      <c r="AV91" s="51"/>
      <c r="AW91" s="52">
        <f>oo</f>
        <v>0.04</v>
      </c>
    </row>
    <row r="92" spans="22:49" ht="12"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M92" s="70">
        <v>29</v>
      </c>
      <c r="AN92" s="75">
        <f t="shared" si="49"/>
        <v>4.5</v>
      </c>
      <c r="AO92" s="81">
        <f t="shared" si="50"/>
        <v>0</v>
      </c>
      <c r="AP92" s="81">
        <f t="shared" si="51"/>
        <v>0</v>
      </c>
      <c r="AQ92" s="81"/>
      <c r="AR92" s="77"/>
      <c r="AU92" s="14">
        <f>AU91</f>
        <v>0.86</v>
      </c>
      <c r="AV92" s="51"/>
      <c r="AW92" s="52">
        <f>B$6-oo</f>
        <v>1.06</v>
      </c>
    </row>
    <row r="93" spans="22:49" ht="12"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M93" s="70">
        <v>30</v>
      </c>
      <c r="AN93" s="75">
        <f t="shared" si="49"/>
        <v>4.5</v>
      </c>
      <c r="AO93" s="81">
        <f t="shared" si="50"/>
        <v>0</v>
      </c>
      <c r="AP93" s="81">
        <f t="shared" si="51"/>
        <v>0</v>
      </c>
      <c r="AQ93" s="81"/>
      <c r="AR93" s="77"/>
      <c r="AU93" s="14"/>
      <c r="AV93" s="51"/>
      <c r="AW93" s="52"/>
    </row>
    <row r="94" spans="22:49" ht="12"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M94" s="70">
        <v>31</v>
      </c>
      <c r="AN94" s="75">
        <f t="shared" si="49"/>
        <v>4.5</v>
      </c>
      <c r="AO94" s="81">
        <f t="shared" si="50"/>
        <v>0</v>
      </c>
      <c r="AP94" s="81">
        <f t="shared" si="51"/>
        <v>0</v>
      </c>
      <c r="AQ94" s="81"/>
      <c r="AR94" s="77"/>
      <c r="AT94" s="1">
        <f>IF(AT91+1&gt;B$11,AT91,AT91+1)</f>
        <v>6</v>
      </c>
      <c r="AU94" s="14">
        <f>AV$59+AV$58*(AT94-1)/(B$11-1)</f>
        <v>0.86</v>
      </c>
      <c r="AV94" s="51"/>
      <c r="AW94" s="52">
        <f>oo</f>
        <v>0.04</v>
      </c>
    </row>
    <row r="95" spans="22:49" ht="12"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M95" s="70">
        <v>32</v>
      </c>
      <c r="AN95" s="75">
        <f t="shared" si="49"/>
        <v>4.5</v>
      </c>
      <c r="AO95" s="81">
        <f t="shared" si="50"/>
        <v>0</v>
      </c>
      <c r="AP95" s="81">
        <f t="shared" si="51"/>
        <v>0</v>
      </c>
      <c r="AQ95" s="81"/>
      <c r="AR95" s="77"/>
      <c r="AU95" s="14">
        <f>AU94</f>
        <v>0.86</v>
      </c>
      <c r="AV95" s="51"/>
      <c r="AW95" s="52">
        <f>B$6-oo</f>
        <v>1.06</v>
      </c>
    </row>
    <row r="96" spans="22:49" ht="12"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M96" s="70">
        <v>33</v>
      </c>
      <c r="AN96" s="75"/>
      <c r="AO96" s="81"/>
      <c r="AP96" s="81"/>
      <c r="AQ96" s="81"/>
      <c r="AR96" s="77"/>
      <c r="AU96" s="14"/>
      <c r="AV96" s="51"/>
      <c r="AW96" s="52"/>
    </row>
    <row r="97" spans="22:49" ht="12"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N97" s="75"/>
      <c r="AO97" s="81"/>
      <c r="AP97" s="81"/>
      <c r="AQ97" s="81"/>
      <c r="AR97" s="77"/>
      <c r="AT97" s="1">
        <f>IF(AT94+1&gt;B$11,AT94,AT94+1)</f>
        <v>6</v>
      </c>
      <c r="AU97" s="14">
        <f>AV$59+AV$58*(AT97-1)/(B$11-1)</f>
        <v>0.86</v>
      </c>
      <c r="AV97" s="51"/>
      <c r="AW97" s="52">
        <f>oo</f>
        <v>0.04</v>
      </c>
    </row>
    <row r="98" spans="22:49" ht="12"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M98" s="1" t="s">
        <v>150</v>
      </c>
      <c r="AN98" s="75">
        <v>0</v>
      </c>
      <c r="AO98" s="81"/>
      <c r="AP98" s="81"/>
      <c r="AQ98" s="76">
        <f>$B$83</f>
        <v>4.0212385965949355</v>
      </c>
      <c r="AR98" s="78"/>
      <c r="AU98" s="14">
        <f>AU97</f>
        <v>0.86</v>
      </c>
      <c r="AV98" s="51"/>
      <c r="AW98" s="52">
        <f>B$6-oo</f>
        <v>1.06</v>
      </c>
    </row>
    <row r="99" spans="22:49" ht="12"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N99" s="75">
        <f>LL</f>
        <v>10</v>
      </c>
      <c r="AO99" s="81"/>
      <c r="AP99" s="81"/>
      <c r="AQ99" s="76">
        <f>$B$83</f>
        <v>4.0212385965949355</v>
      </c>
      <c r="AR99" s="78"/>
      <c r="AU99" s="14"/>
      <c r="AV99" s="51"/>
      <c r="AW99" s="52"/>
    </row>
    <row r="100" spans="22:49" ht="12"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N100" s="75"/>
      <c r="AO100" s="81"/>
      <c r="AP100" s="81"/>
      <c r="AQ100" s="81"/>
      <c r="AR100" s="78"/>
      <c r="AT100" s="1">
        <f>IF(AT97+1&gt;B$11,AT97,AT97+1)</f>
        <v>6</v>
      </c>
      <c r="AU100" s="14">
        <f>AV$59+AV$58*(AT100-1)/(B$11-1)</f>
        <v>0.86</v>
      </c>
      <c r="AV100" s="51"/>
      <c r="AW100" s="52">
        <f>oo</f>
        <v>0.04</v>
      </c>
    </row>
    <row r="101" spans="22:49" ht="12"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M101" s="1" t="s">
        <v>167</v>
      </c>
      <c r="AN101" s="75">
        <v>0</v>
      </c>
      <c r="AO101" s="81"/>
      <c r="AP101" s="81"/>
      <c r="AQ101" s="76"/>
      <c r="AR101" s="78">
        <v>0</v>
      </c>
      <c r="AU101" s="14">
        <f>AU100</f>
        <v>0.86</v>
      </c>
      <c r="AV101" s="51"/>
      <c r="AW101" s="52">
        <f>B$6-oo</f>
        <v>1.06</v>
      </c>
    </row>
    <row r="102" spans="22:49" ht="12"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N102" s="82">
        <f>LL</f>
        <v>10</v>
      </c>
      <c r="AO102" s="83"/>
      <c r="AP102" s="83"/>
      <c r="AQ102" s="85"/>
      <c r="AR102" s="84">
        <v>0</v>
      </c>
      <c r="AU102" s="14"/>
      <c r="AV102" s="51"/>
      <c r="AW102" s="52"/>
    </row>
    <row r="103" spans="22:49" ht="12"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T103" s="1">
        <f>IF(AT100+1&gt;B$11,AT100,AT100+1)</f>
        <v>6</v>
      </c>
      <c r="AU103" s="14">
        <f>AV$59+AV$58*(AT103-1)/(B$11-1)</f>
        <v>0.86</v>
      </c>
      <c r="AV103" s="51"/>
      <c r="AW103" s="52">
        <f>oo</f>
        <v>0.04</v>
      </c>
    </row>
    <row r="104" spans="22:49" ht="12"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U104" s="14">
        <f>AU103</f>
        <v>0.86</v>
      </c>
      <c r="AV104" s="51"/>
      <c r="AW104" s="52">
        <f>B$6-oo</f>
        <v>1.06</v>
      </c>
    </row>
    <row r="105" spans="22:49" ht="12"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U105" s="14"/>
      <c r="AV105" s="51"/>
      <c r="AW105" s="52"/>
    </row>
    <row r="106" spans="22:49" ht="12"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T106" s="1">
        <f>IF(AT103+1&gt;B$11,AT103,AT103+1)</f>
        <v>6</v>
      </c>
      <c r="AU106" s="14">
        <f>AV$59+AV$58*(AT106-1)/(B$11-1)</f>
        <v>0.86</v>
      </c>
      <c r="AV106" s="51"/>
      <c r="AW106" s="52">
        <f>oo</f>
        <v>0.04</v>
      </c>
    </row>
    <row r="107" spans="22:49" ht="12"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U107" s="14">
        <f>AU106</f>
        <v>0.86</v>
      </c>
      <c r="AV107" s="51"/>
      <c r="AW107" s="52">
        <f>B$6-oo</f>
        <v>1.06</v>
      </c>
    </row>
    <row r="108" spans="22:49" ht="12"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U108" s="14"/>
      <c r="AV108" s="51"/>
      <c r="AW108" s="52"/>
    </row>
    <row r="109" spans="22:49" ht="12"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U109" s="14">
        <f>AV59</f>
        <v>0.64</v>
      </c>
      <c r="AV109" s="51"/>
      <c r="AW109" s="52">
        <f>AW106</f>
        <v>0.04</v>
      </c>
    </row>
    <row r="110" spans="22:49" ht="12"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U110" s="14">
        <f>AU109+B7-2*oo</f>
        <v>0.86</v>
      </c>
      <c r="AV110" s="51"/>
      <c r="AW110" s="52">
        <f>AW109</f>
        <v>0.04</v>
      </c>
    </row>
    <row r="111" spans="22:49" ht="12"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U111" s="14"/>
      <c r="AV111" s="51"/>
      <c r="AW111" s="52"/>
    </row>
    <row r="112" spans="22:49" ht="12"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U112" s="14">
        <f>AU109</f>
        <v>0.64</v>
      </c>
      <c r="AV112" s="51"/>
      <c r="AW112" s="52">
        <f>AW107</f>
        <v>1.06</v>
      </c>
    </row>
    <row r="113" spans="22:49" ht="12"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U113" s="53">
        <f>AU110</f>
        <v>0.86</v>
      </c>
      <c r="AV113" s="71"/>
      <c r="AW113" s="54">
        <f>AW112</f>
        <v>1.06</v>
      </c>
    </row>
    <row r="114" spans="22:36" ht="12"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22:36" ht="12"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22:36" ht="12"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22:36" ht="12"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22:36" ht="12"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22:36" ht="12"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</sheetData>
  <sheetProtection password="DE57" sheet="1" objects="1" scenarios="1" selectLockedCells="1"/>
  <dataValidations count="5">
    <dataValidation type="list" allowBlank="1" showInputMessage="1" showErrorMessage="1" sqref="B16">
      <formula1>$I$17:$I$20</formula1>
    </dataValidation>
    <dataValidation type="list" allowBlank="1" showInputMessage="1" showErrorMessage="1" sqref="B15 AS24">
      <formula1>$AP$24:$AP$25</formula1>
    </dataValidation>
    <dataValidation type="decimal" allowBlank="1" showInputMessage="1" showErrorMessage="1" sqref="B13">
      <formula1>1</formula1>
      <formula2>2.5</formula2>
    </dataValidation>
    <dataValidation type="decimal" allowBlank="1" showInputMessage="1" showErrorMessage="1" sqref="B14">
      <formula1>0</formula1>
      <formula2>1</formula2>
    </dataValidation>
    <dataValidation type="list" allowBlank="1" showInputMessage="1" showErrorMessage="1" sqref="G3">
      <formula1>$AL$4:$AL$17</formula1>
    </dataValidation>
  </dataValidations>
  <printOptions/>
  <pageMargins left="0.7874015748031497" right="0.7874015748031497" top="0.3937007874015748" bottom="0.3937007874015748" header="0" footer="0"/>
  <pageSetup horizontalDpi="600" verticalDpi="600" orientation="landscape" paperSize="9" scale="70" r:id="rId6"/>
  <rowBreaks count="2" manualBreakCount="2">
    <brk id="61" max="255" man="1"/>
    <brk id="127" max="255" man="1"/>
  </rowBreaks>
  <colBreaks count="2" manualBreakCount="2">
    <brk id="13" max="65535" man="1"/>
    <brk id="37" max="65535" man="1"/>
  </colBreaks>
  <drawing r:id="rId5"/>
  <legacyDrawing r:id="rId4"/>
  <oleObjects>
    <oleObject progId="Equation.3" shapeId="711149" r:id="rId2"/>
    <oleObject progId="Equation.3" shapeId="14043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mactho1</dc:creator>
  <cp:keywords/>
  <dc:description/>
  <cp:lastModifiedBy>mactho1</cp:lastModifiedBy>
  <cp:lastPrinted>2011-04-15T14:47:05Z</cp:lastPrinted>
  <dcterms:created xsi:type="dcterms:W3CDTF">2011-04-03T11:05:27Z</dcterms:created>
  <dcterms:modified xsi:type="dcterms:W3CDTF">2012-10-09T15:49:46Z</dcterms:modified>
  <cp:category/>
  <cp:version/>
  <cp:contentType/>
  <cp:contentStatus/>
</cp:coreProperties>
</file>