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8700" activeTab="0"/>
  </bookViews>
  <sheets>
    <sheet name="Feuil1" sheetId="1" r:id="rId1"/>
  </sheets>
  <definedNames>
    <definedName name="fyd">'Feuil1'!$I$34</definedName>
    <definedName name="gc">'Feuil1'!$B$15</definedName>
    <definedName name="N">'Feuil1'!$B$6</definedName>
    <definedName name="tabac">'Feuil1'!$U$6:$W$8</definedName>
    <definedName name="tabEC">'Feuil1'!$U$2:$V$4</definedName>
    <definedName name="tabfck">'Feuil1'!$U$16:$AC$29</definedName>
    <definedName name="_xlnm.Print_Area" localSheetId="0">'Feuil1'!$A$1:$N$93</definedName>
  </definedNames>
  <calcPr calcMode="manual" fullCalcOnLoad="1"/>
</workbook>
</file>

<file path=xl/comments1.xml><?xml version="1.0" encoding="utf-8"?>
<comments xmlns="http://schemas.openxmlformats.org/spreadsheetml/2006/main">
  <authors>
    <author>mactho1</author>
  </authors>
  <commentList>
    <comment ref="B24" authorId="0">
      <text>
        <r>
          <rPr>
            <b/>
            <sz val="9"/>
            <rFont val="Tahoma"/>
            <family val="0"/>
          </rPr>
          <t>Section entièrement comprimée
ou bien parttiellement comprimée sans armatures longitudinales nécessaires</t>
        </r>
      </text>
    </comment>
    <comment ref="C24" authorId="0">
      <text>
        <r>
          <rPr>
            <b/>
            <sz val="9"/>
            <rFont val="Tahoma"/>
            <family val="0"/>
          </rPr>
          <t>Section partiellement tendue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0"/>
          </rPr>
          <t>Section entièrement tendue</t>
        </r>
        <r>
          <rPr>
            <sz val="9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0"/>
          </rPr>
          <t>contrainte de compression du béton en fibre supérieure</t>
        </r>
      </text>
    </comment>
    <comment ref="A26" authorId="0">
      <text>
        <r>
          <rPr>
            <b/>
            <sz val="9"/>
            <rFont val="Tahoma"/>
            <family val="0"/>
          </rPr>
          <t>contrainte de compression du béton en fibre inférieure</t>
        </r>
      </text>
    </comment>
    <comment ref="A27" authorId="0">
      <text>
        <r>
          <rPr>
            <b/>
            <sz val="9"/>
            <rFont val="Tahoma"/>
            <family val="0"/>
          </rPr>
          <t xml:space="preserve">contrainte des armatures supérieures </t>
        </r>
      </text>
    </comment>
    <comment ref="A28" authorId="0">
      <text>
        <r>
          <rPr>
            <b/>
            <sz val="9"/>
            <rFont val="Tahoma"/>
            <family val="0"/>
          </rPr>
          <t xml:space="preserve">contrainte des armatures inférieures </t>
        </r>
        <r>
          <rPr>
            <sz val="9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0"/>
          </rPr>
          <t>section d'armatures supérieures</t>
        </r>
      </text>
    </comment>
    <comment ref="A30" authorId="0">
      <text>
        <r>
          <rPr>
            <b/>
            <sz val="9"/>
            <rFont val="Tahoma"/>
            <family val="0"/>
          </rPr>
          <t>section d'armatures supérieures</t>
        </r>
        <r>
          <rPr>
            <sz val="9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0"/>
          </rPr>
          <t>moment réduit =M/(b.d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0"/>
          </rPr>
          <t>.f</t>
        </r>
        <r>
          <rPr>
            <b/>
            <vertAlign val="subscript"/>
            <sz val="9"/>
            <rFont val="Tahoma"/>
            <family val="2"/>
          </rPr>
          <t>cd</t>
        </r>
        <r>
          <rPr>
            <b/>
            <sz val="9"/>
            <rFont val="Tahoma"/>
            <family val="0"/>
          </rPr>
          <t>)</t>
        </r>
      </text>
    </comment>
    <comment ref="B18" authorId="0">
      <text>
        <r>
          <rPr>
            <b/>
            <sz val="9"/>
            <rFont val="Tahoma"/>
            <family val="0"/>
          </rPr>
          <t>Inclinaison des bielles, sauf en section entièrement tendue où l'inclinaison est calculée en fonction de</t>
        </r>
        <r>
          <rPr>
            <b/>
            <sz val="9"/>
            <rFont val="Symbol"/>
            <family val="1"/>
          </rPr>
          <t xml:space="preserve"> s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 xml:space="preserve"> et de v</t>
        </r>
        <r>
          <rPr>
            <b/>
            <vertAlign val="subscript"/>
            <sz val="9"/>
            <rFont val="Tahoma"/>
            <family val="2"/>
          </rPr>
          <t>Ed</t>
        </r>
      </text>
    </comment>
    <comment ref="V31" authorId="0">
      <text>
        <r>
          <rPr>
            <b/>
            <sz val="9"/>
            <rFont val="Tahoma"/>
            <family val="0"/>
          </rPr>
          <t>enrobage à l'axe des armatures longitudinales pour le calcul à la torsion</t>
        </r>
        <r>
          <rPr>
            <sz val="9"/>
            <rFont val="Tahoma"/>
            <family val="0"/>
          </rPr>
          <t xml:space="preserve">
</t>
        </r>
      </text>
    </comment>
    <comment ref="B76" authorId="0">
      <text>
        <r>
          <rPr>
            <b/>
            <sz val="9"/>
            <rFont val="Tahoma"/>
            <family val="0"/>
          </rPr>
          <t>distance du centre de gravité des armatures supérieures à la fibre supérieure</t>
        </r>
      </text>
    </comment>
    <comment ref="B19" authorId="0">
      <text>
        <r>
          <rPr>
            <b/>
            <sz val="9"/>
            <rFont val="Tahoma"/>
            <family val="0"/>
          </rPr>
          <t>diamètre des cadres</t>
        </r>
      </text>
    </comment>
    <comment ref="B20" authorId="0">
      <text>
        <r>
          <rPr>
            <b/>
            <sz val="9"/>
            <rFont val="Tahoma"/>
            <family val="0"/>
          </rPr>
          <t>nombre de brins par cours de cadres</t>
        </r>
      </text>
    </comment>
    <comment ref="D33" authorId="0">
      <text>
        <r>
          <rPr>
            <b/>
            <sz val="9"/>
            <rFont val="Tahoma"/>
            <family val="0"/>
          </rPr>
          <t>selon l'article 9.2.1.1 (1), pour chaque face tendue (sup. et/ou inf.)</t>
        </r>
      </text>
    </comment>
    <comment ref="A61" authorId="0">
      <text>
        <r>
          <rPr>
            <b/>
            <sz val="9"/>
            <rFont val="Tahoma"/>
            <family val="0"/>
          </rPr>
          <t>V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>/V</t>
        </r>
        <r>
          <rPr>
            <b/>
            <vertAlign val="subscript"/>
            <sz val="9"/>
            <rFont val="Tahoma"/>
            <family val="2"/>
          </rPr>
          <t>Rd,max</t>
        </r>
        <r>
          <rPr>
            <b/>
            <sz val="9"/>
            <rFont val="Tahoma"/>
            <family val="0"/>
          </rPr>
          <t xml:space="preserve"> + T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>/T</t>
        </r>
        <r>
          <rPr>
            <b/>
            <vertAlign val="subscript"/>
            <sz val="9"/>
            <rFont val="Tahoma"/>
            <family val="2"/>
          </rPr>
          <t>Rd,max</t>
        </r>
        <r>
          <rPr>
            <b/>
            <sz val="9"/>
            <rFont val="Tahoma"/>
            <family val="0"/>
          </rPr>
          <t xml:space="preserve"> </t>
        </r>
        <r>
          <rPr>
            <b/>
            <sz val="9"/>
            <rFont val="Arial"/>
            <family val="0"/>
          </rPr>
          <t>≤</t>
        </r>
        <r>
          <rPr>
            <b/>
            <sz val="9"/>
            <rFont val="Tahoma"/>
            <family val="0"/>
          </rPr>
          <t xml:space="preserve"> 1 ?</t>
        </r>
        <r>
          <rPr>
            <sz val="9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0"/>
          </rPr>
          <t>En plus des armatures longitudinales de flexion et déduction faite de l'effort de compression éventuel</t>
        </r>
      </text>
    </comment>
    <comment ref="A6" authorId="0">
      <text>
        <r>
          <rPr>
            <b/>
            <sz val="9"/>
            <rFont val="Tahoma"/>
            <family val="2"/>
          </rPr>
          <t>&gt; 0 pour uner compression
&lt; 0 pour une traction</t>
        </r>
        <r>
          <rPr>
            <sz val="9"/>
            <rFont val="Tahoma"/>
            <family val="0"/>
          </rPr>
          <t xml:space="preserve">
appliqué à mi-hauteur de la section béton</t>
        </r>
      </text>
    </comment>
    <comment ref="B9" authorId="0">
      <text>
        <r>
          <rPr>
            <b/>
            <sz val="9"/>
            <rFont val="Tahoma"/>
            <family val="0"/>
          </rPr>
          <t>Les dalles seront considérées comme bénéficiant d'un effet de redistribution transversale si b = 1 m et h &lt; 0,50 m</t>
        </r>
      </text>
    </comment>
    <comment ref="B10" authorId="0">
      <text>
        <r>
          <rPr>
            <b/>
            <sz val="9"/>
            <rFont val="Tahoma"/>
            <family val="0"/>
          </rPr>
          <t>Les dalles seront considérées comme bénéficiant d'un effet de redistribution transversale si b = 1 m et h &lt; 0,50 m</t>
        </r>
      </text>
    </comment>
    <comment ref="B12" authorId="0">
      <text>
        <r>
          <rPr>
            <b/>
            <sz val="9"/>
            <rFont val="Tahoma"/>
            <family val="0"/>
          </rPr>
          <t>distance du centre de gravité des armatures supérieures à la fibre supérieure</t>
        </r>
      </text>
    </comment>
    <comment ref="A80" authorId="0">
      <text>
        <r>
          <rPr>
            <b/>
            <sz val="9"/>
            <rFont val="Tahoma"/>
            <family val="0"/>
          </rPr>
          <t>espacement des cours de cadres</t>
        </r>
        <r>
          <rPr>
            <sz val="9"/>
            <rFont val="Tahoma"/>
            <family val="0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0"/>
          </rPr>
          <t xml:space="preserve">espacement des cadres d'un même cours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<sst xmlns="http://schemas.openxmlformats.org/spreadsheetml/2006/main" count="335" uniqueCount="228">
  <si>
    <t>b</t>
  </si>
  <si>
    <t>h</t>
  </si>
  <si>
    <t>fck</t>
  </si>
  <si>
    <t>Tableau des caractéristiques des bétons selon EC2</t>
  </si>
  <si>
    <t>fctm</t>
  </si>
  <si>
    <t>Ecm</t>
  </si>
  <si>
    <t>ecu1</t>
  </si>
  <si>
    <t>ec1</t>
  </si>
  <si>
    <t>ecu2</t>
  </si>
  <si>
    <t>ec2</t>
  </si>
  <si>
    <t>n</t>
  </si>
  <si>
    <t>kc</t>
  </si>
  <si>
    <t>Données</t>
  </si>
  <si>
    <r>
      <t>cm</t>
    </r>
    <r>
      <rPr>
        <vertAlign val="superscript"/>
        <sz val="9"/>
        <rFont val="Arial"/>
        <family val="2"/>
      </rPr>
      <t>2</t>
    </r>
  </si>
  <si>
    <r>
      <t>V</t>
    </r>
    <r>
      <rPr>
        <vertAlign val="subscript"/>
        <sz val="9"/>
        <rFont val="Arial"/>
        <family val="2"/>
      </rPr>
      <t>Ed</t>
    </r>
  </si>
  <si>
    <t>MN</t>
  </si>
  <si>
    <t>z</t>
  </si>
  <si>
    <t>m</t>
  </si>
  <si>
    <r>
      <t>f</t>
    </r>
    <r>
      <rPr>
        <vertAlign val="subscript"/>
        <sz val="9"/>
        <rFont val="Arial"/>
        <family val="2"/>
      </rPr>
      <t>cd</t>
    </r>
  </si>
  <si>
    <t>MPa</t>
  </si>
  <si>
    <r>
      <t>f</t>
    </r>
    <r>
      <rPr>
        <vertAlign val="subscript"/>
        <sz val="9"/>
        <rFont val="Arial"/>
        <family val="2"/>
      </rPr>
      <t>yd</t>
    </r>
  </si>
  <si>
    <t>d</t>
  </si>
  <si>
    <r>
      <t>f</t>
    </r>
    <r>
      <rPr>
        <vertAlign val="subscript"/>
        <sz val="9"/>
        <rFont val="Arial"/>
        <family val="2"/>
      </rPr>
      <t>ctm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</si>
  <si>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</si>
  <si>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</si>
  <si>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</si>
  <si>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</si>
  <si>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t>q</t>
  </si>
  <si>
    <t>°</t>
  </si>
  <si>
    <t>mm</t>
  </si>
  <si>
    <r>
      <t>T</t>
    </r>
    <r>
      <rPr>
        <vertAlign val="subscript"/>
        <sz val="9"/>
        <rFont val="Arial"/>
        <family val="2"/>
      </rPr>
      <t>Ed</t>
    </r>
  </si>
  <si>
    <t>MNm</t>
  </si>
  <si>
    <t>largeur</t>
  </si>
  <si>
    <t>résistance béton</t>
  </si>
  <si>
    <t>limite élastique acier</t>
  </si>
  <si>
    <t>inclinaison des bielles</t>
  </si>
  <si>
    <t>A</t>
  </si>
  <si>
    <t>u</t>
  </si>
  <si>
    <t>périmètre</t>
  </si>
  <si>
    <t>enrobage à l'axe des armatures longitudinales</t>
  </si>
  <si>
    <t>transversales</t>
  </si>
  <si>
    <t>longitudinales</t>
  </si>
  <si>
    <t>Eq. 6.29</t>
  </si>
  <si>
    <r>
      <t>f</t>
    </r>
    <r>
      <rPr>
        <vertAlign val="subscript"/>
        <sz val="9"/>
        <rFont val="Arial"/>
        <family val="2"/>
      </rPr>
      <t>ctd</t>
    </r>
  </si>
  <si>
    <t>k</t>
  </si>
  <si>
    <t>hauteur totale</t>
  </si>
  <si>
    <t>Armatures minimales</t>
  </si>
  <si>
    <t>aire</t>
  </si>
  <si>
    <t>effort tranchant résistant</t>
  </si>
  <si>
    <t>moment de torsion résistant</t>
  </si>
  <si>
    <t>cisaillement de torsion</t>
  </si>
  <si>
    <t>bras de levier</t>
  </si>
  <si>
    <t>béton</t>
  </si>
  <si>
    <t>d°</t>
  </si>
  <si>
    <t>H. Thonier</t>
  </si>
  <si>
    <t>L'auteur n'est pas</t>
  </si>
  <si>
    <t>responsable de</t>
  </si>
  <si>
    <t>l'utilisation faite</t>
  </si>
  <si>
    <t>de ce programme</t>
  </si>
  <si>
    <t>coefficient béton</t>
  </si>
  <si>
    <t>coefficient acier</t>
  </si>
  <si>
    <r>
      <t>M</t>
    </r>
    <r>
      <rPr>
        <vertAlign val="subscript"/>
        <sz val="9"/>
        <rFont val="Arial"/>
        <family val="2"/>
      </rPr>
      <t>Ed</t>
    </r>
  </si>
  <si>
    <r>
      <t>N</t>
    </r>
    <r>
      <rPr>
        <vertAlign val="subscript"/>
        <sz val="9"/>
        <rFont val="Arial"/>
        <family val="2"/>
      </rPr>
      <t>Ed</t>
    </r>
  </si>
  <si>
    <t>effort tranchant ELU</t>
  </si>
  <si>
    <t>moment de torsion ELU</t>
  </si>
  <si>
    <t>classe d'acier</t>
  </si>
  <si>
    <t>B</t>
  </si>
  <si>
    <t>C</t>
  </si>
  <si>
    <r>
      <t>cot</t>
    </r>
    <r>
      <rPr>
        <sz val="9"/>
        <rFont val="Symbol"/>
        <family val="1"/>
      </rPr>
      <t>q</t>
    </r>
  </si>
  <si>
    <r>
      <t>A</t>
    </r>
    <r>
      <rPr>
        <vertAlign val="subscript"/>
        <sz val="9"/>
        <rFont val="Arial"/>
        <family val="2"/>
      </rPr>
      <t>si</t>
    </r>
    <r>
      <rPr>
        <sz val="9"/>
        <rFont val="Arial"/>
        <family val="0"/>
      </rPr>
      <t>/u</t>
    </r>
    <r>
      <rPr>
        <vertAlign val="subscript"/>
        <sz val="9"/>
        <rFont val="Arial"/>
        <family val="2"/>
      </rPr>
      <t>k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</si>
  <si>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</si>
  <si>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r>
      <t>A</t>
    </r>
    <r>
      <rPr>
        <vertAlign val="subscript"/>
        <sz val="9"/>
        <rFont val="Arial"/>
        <family val="2"/>
      </rPr>
      <t>si</t>
    </r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</si>
  <si>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</si>
  <si>
    <r>
      <t>m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</si>
  <si>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s,min</t>
    </r>
  </si>
  <si>
    <r>
      <t>t</t>
    </r>
    <r>
      <rPr>
        <vertAlign val="subscript"/>
        <sz val="9"/>
        <rFont val="Arial"/>
        <family val="2"/>
      </rPr>
      <t>ef,i</t>
    </r>
  </si>
  <si>
    <r>
      <t>A</t>
    </r>
    <r>
      <rPr>
        <vertAlign val="subscript"/>
        <sz val="9"/>
        <rFont val="Arial"/>
        <family val="2"/>
      </rPr>
      <t>k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</si>
  <si>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2"/>
      </rPr>
      <t>/s)</t>
    </r>
    <r>
      <rPr>
        <vertAlign val="subscript"/>
        <sz val="9"/>
        <rFont val="Arial"/>
        <family val="2"/>
      </rPr>
      <t>min</t>
    </r>
  </si>
  <si>
    <r>
      <t>u</t>
    </r>
    <r>
      <rPr>
        <vertAlign val="subscript"/>
        <sz val="9"/>
        <rFont val="Arial"/>
        <family val="2"/>
      </rPr>
      <t>k</t>
    </r>
  </si>
  <si>
    <r>
      <t>T</t>
    </r>
    <r>
      <rPr>
        <vertAlign val="subscript"/>
        <sz val="9"/>
        <rFont val="Arial"/>
        <family val="2"/>
      </rPr>
      <t>Rd,max</t>
    </r>
  </si>
  <si>
    <r>
      <t>t</t>
    </r>
    <r>
      <rPr>
        <vertAlign val="subscript"/>
        <sz val="9"/>
        <rFont val="Arial"/>
        <family val="2"/>
      </rPr>
      <t>t,i</t>
    </r>
  </si>
  <si>
    <t>entièrement comprimée</t>
  </si>
  <si>
    <t>partiellement tendue</t>
  </si>
  <si>
    <t>entièrement tendue</t>
  </si>
  <si>
    <r>
      <t>e</t>
    </r>
    <r>
      <rPr>
        <vertAlign val="subscript"/>
        <sz val="9"/>
        <rFont val="Arial"/>
        <family val="2"/>
      </rPr>
      <t>uk</t>
    </r>
  </si>
  <si>
    <t>‰</t>
  </si>
  <si>
    <t>ET</t>
  </si>
  <si>
    <t>PT</t>
  </si>
  <si>
    <t>EC</t>
  </si>
  <si>
    <r>
      <t>s</t>
    </r>
    <r>
      <rPr>
        <vertAlign val="subscript"/>
        <sz val="9"/>
        <rFont val="Arial"/>
        <family val="2"/>
      </rPr>
      <t>c1</t>
    </r>
  </si>
  <si>
    <r>
      <t>s</t>
    </r>
    <r>
      <rPr>
        <vertAlign val="subscript"/>
        <sz val="9"/>
        <rFont val="Arial"/>
        <family val="2"/>
      </rPr>
      <t>c2</t>
    </r>
  </si>
  <si>
    <r>
      <t>s</t>
    </r>
    <r>
      <rPr>
        <vertAlign val="subscript"/>
        <sz val="9"/>
        <rFont val="Arial"/>
        <family val="2"/>
      </rPr>
      <t>s1</t>
    </r>
  </si>
  <si>
    <r>
      <t>s</t>
    </r>
    <r>
      <rPr>
        <vertAlign val="subscript"/>
        <sz val="9"/>
        <rFont val="Arial"/>
        <family val="2"/>
      </rPr>
      <t>s2</t>
    </r>
  </si>
  <si>
    <r>
      <t>A</t>
    </r>
    <r>
      <rPr>
        <vertAlign val="subscript"/>
        <sz val="9"/>
        <rFont val="Arial"/>
        <family val="2"/>
      </rPr>
      <t>s,sup</t>
    </r>
  </si>
  <si>
    <r>
      <t>A</t>
    </r>
    <r>
      <rPr>
        <vertAlign val="subscript"/>
        <sz val="9"/>
        <rFont val="Arial"/>
        <family val="2"/>
      </rPr>
      <t>s,inf</t>
    </r>
  </si>
  <si>
    <t>d'</t>
  </si>
  <si>
    <t>distance armatures supérieures à fibre supérieure</t>
  </si>
  <si>
    <r>
      <t>A</t>
    </r>
    <r>
      <rPr>
        <vertAlign val="subscript"/>
        <sz val="9"/>
        <rFont val="Arial"/>
        <family val="2"/>
      </rPr>
      <t>sw</t>
    </r>
  </si>
  <si>
    <r>
      <t>s</t>
    </r>
    <r>
      <rPr>
        <vertAlign val="subscript"/>
        <sz val="9"/>
        <rFont val="Arial"/>
        <family val="2"/>
      </rPr>
      <t>Ed</t>
    </r>
  </si>
  <si>
    <r>
      <t>v</t>
    </r>
    <r>
      <rPr>
        <vertAlign val="subscript"/>
        <sz val="9"/>
        <rFont val="Arial"/>
        <family val="2"/>
      </rPr>
      <t>Ed</t>
    </r>
  </si>
  <si>
    <t>HA</t>
  </si>
  <si>
    <t>nb</t>
  </si>
  <si>
    <t>s</t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</si>
  <si>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</si>
  <si>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</si>
  <si>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code : 1=EC, 2=PT, 3=ET</t>
  </si>
  <si>
    <t>.</t>
  </si>
  <si>
    <r>
      <t>e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/h</t>
    </r>
  </si>
  <si>
    <t>Armatures d'effort tranchant nécessaires</t>
  </si>
  <si>
    <r>
      <t>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Rd,max</t>
    </r>
  </si>
  <si>
    <t>excentricité relative</t>
  </si>
  <si>
    <r>
      <t>a</t>
    </r>
    <r>
      <rPr>
        <vertAlign val="subscript"/>
        <sz val="9"/>
        <rFont val="Arial"/>
        <family val="2"/>
      </rPr>
      <t>cw</t>
    </r>
  </si>
  <si>
    <t>&lt; 1 ?</t>
  </si>
  <si>
    <r>
      <t>V</t>
    </r>
    <r>
      <rPr>
        <vertAlign val="subscript"/>
        <sz val="9"/>
        <rFont val="Arial"/>
        <family val="2"/>
      </rPr>
      <t>Rd,max</t>
    </r>
  </si>
  <si>
    <t>Armatures  de torsion nécessaires</t>
  </si>
  <si>
    <t>Armatures transversales totales</t>
  </si>
  <si>
    <t>résistance béton en flexion</t>
  </si>
  <si>
    <t>résistance béton en effort tranchant-torsion</t>
  </si>
  <si>
    <r>
      <t>x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</si>
  <si>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0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</si>
  <si>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(aire d'un cours de cadres)</t>
    </r>
  </si>
  <si>
    <r>
      <t>s</t>
    </r>
    <r>
      <rPr>
        <vertAlign val="subscript"/>
        <sz val="9"/>
        <rFont val="Arial"/>
        <family val="2"/>
      </rPr>
      <t>max</t>
    </r>
  </si>
  <si>
    <t>mm (espacement de cours de cadres)</t>
  </si>
  <si>
    <t>mm (espacement maxi de cours de cadres)</t>
  </si>
  <si>
    <t>mm (espacement retenu de cours de cadres)</t>
  </si>
  <si>
    <t>Résultats intermédiaires</t>
  </si>
  <si>
    <t>inclinaison bielles donnée</t>
  </si>
  <si>
    <t>SECTION</t>
  </si>
  <si>
    <t>béton sup</t>
  </si>
  <si>
    <t>béton inf</t>
  </si>
  <si>
    <t>acier sup</t>
  </si>
  <si>
    <t>acier inf</t>
  </si>
  <si>
    <t>armature sup</t>
  </si>
  <si>
    <t>armature inf</t>
  </si>
  <si>
    <r>
      <t>s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ctm</t>
    </r>
  </si>
  <si>
    <r>
      <t>d° totales sur le périmètre u</t>
    </r>
    <r>
      <rPr>
        <vertAlign val="subscript"/>
        <sz val="9"/>
        <rFont val="Arial"/>
        <family val="2"/>
      </rPr>
      <t>k</t>
    </r>
  </si>
  <si>
    <t>Vérification des résistances</t>
  </si>
  <si>
    <t>section pleine de poutre avec moment, effort normal, effort tranchant et torsion</t>
  </si>
  <si>
    <r>
      <t>Ø</t>
    </r>
    <r>
      <rPr>
        <sz val="10"/>
        <rFont val="Arial"/>
        <family val="0"/>
      </rPr>
      <t xml:space="preserve"> des armatures transversales</t>
    </r>
  </si>
  <si>
    <t>moment de flexion ELU</t>
  </si>
  <si>
    <t>inclinaison des cadres</t>
  </si>
  <si>
    <r>
      <t>s</t>
    </r>
    <r>
      <rPr>
        <vertAlign val="subscript"/>
        <sz val="9"/>
        <rFont val="Arial"/>
        <family val="2"/>
      </rPr>
      <t>Rd,max1</t>
    </r>
  </si>
  <si>
    <r>
      <t>s</t>
    </r>
    <r>
      <rPr>
        <vertAlign val="subscript"/>
        <sz val="9"/>
        <rFont val="Arial"/>
        <family val="2"/>
      </rPr>
      <t>Rd,max2</t>
    </r>
  </si>
  <si>
    <t>pour un cadre seul</t>
  </si>
  <si>
    <t xml:space="preserve">mm </t>
  </si>
  <si>
    <t>espacement maxi</t>
  </si>
  <si>
    <t>Les cadres sont affectés à la résistance au moment de torsion</t>
  </si>
  <si>
    <t>Les épingles et étriers à l'effort tranchant (+ éventuellement une fraction des cadres)</t>
  </si>
  <si>
    <t>calculées</t>
  </si>
  <si>
    <r>
      <t>r</t>
    </r>
    <r>
      <rPr>
        <vertAlign val="subscript"/>
        <sz val="9"/>
        <rFont val="Arial"/>
        <family val="2"/>
      </rPr>
      <t>l</t>
    </r>
  </si>
  <si>
    <r>
      <t>v</t>
    </r>
    <r>
      <rPr>
        <vertAlign val="subscript"/>
        <sz val="9"/>
        <rFont val="Arial"/>
        <family val="2"/>
      </rPr>
      <t>Rd,c1</t>
    </r>
  </si>
  <si>
    <r>
      <t>v</t>
    </r>
    <r>
      <rPr>
        <vertAlign val="subscript"/>
        <sz val="9"/>
        <rFont val="Arial"/>
        <family val="2"/>
      </rPr>
      <t>min</t>
    </r>
  </si>
  <si>
    <r>
      <t>s</t>
    </r>
    <r>
      <rPr>
        <vertAlign val="subscript"/>
        <sz val="9"/>
        <rFont val="Arial"/>
        <family val="2"/>
      </rPr>
      <t>cp</t>
    </r>
  </si>
  <si>
    <r>
      <t>v</t>
    </r>
    <r>
      <rPr>
        <vertAlign val="subscript"/>
        <sz val="9"/>
        <rFont val="Arial"/>
        <family val="2"/>
      </rPr>
      <t>Rd,c</t>
    </r>
  </si>
  <si>
    <t>Cisaillement béton seul</t>
  </si>
  <si>
    <r>
      <t>V</t>
    </r>
    <r>
      <rPr>
        <vertAlign val="subscript"/>
        <sz val="9"/>
        <rFont val="Arial"/>
        <family val="2"/>
      </rPr>
      <t>Rd,c</t>
    </r>
  </si>
  <si>
    <t xml:space="preserve">c </t>
  </si>
  <si>
    <t>effort normal ELU centré</t>
  </si>
  <si>
    <t>x</t>
  </si>
  <si>
    <t>fibre neutre</t>
  </si>
  <si>
    <t>CALCUL ELU DES ARMATURES D'UNE SECTION RECTANGULAIRE avec M, V, N, T</t>
  </si>
  <si>
    <r>
      <t>E</t>
    </r>
    <r>
      <rPr>
        <vertAlign val="subscript"/>
        <sz val="10"/>
        <rFont val="Arial"/>
        <family val="2"/>
      </rPr>
      <t>cm</t>
    </r>
  </si>
  <si>
    <t>flex(Mor, N, V, b, h, d0, dp0, fck, fcd, fctm, ec1, ecu, euk, fyd, k, cotq, nb, phi)</t>
  </si>
  <si>
    <t>pour EC</t>
  </si>
  <si>
    <t>exposant parabole</t>
  </si>
  <si>
    <t>GPa</t>
  </si>
  <si>
    <t>coef. Sargin</t>
  </si>
  <si>
    <t>sup</t>
  </si>
  <si>
    <t>inf</t>
  </si>
  <si>
    <t>nbre lits</t>
  </si>
  <si>
    <t>nbre cours</t>
  </si>
  <si>
    <t>Armatures transversales</t>
  </si>
  <si>
    <r>
      <t>d</t>
    </r>
    <r>
      <rPr>
        <vertAlign val="subscript"/>
        <sz val="9"/>
        <rFont val="Arial"/>
        <family val="2"/>
      </rPr>
      <t>sup</t>
    </r>
  </si>
  <si>
    <r>
      <t>d</t>
    </r>
    <r>
      <rPr>
        <vertAlign val="subscript"/>
        <sz val="9"/>
        <rFont val="Arial"/>
        <family val="2"/>
      </rPr>
      <t>inf</t>
    </r>
  </si>
  <si>
    <r>
      <t>c</t>
    </r>
    <r>
      <rPr>
        <vertAlign val="subscript"/>
        <sz val="9"/>
        <rFont val="Arial"/>
        <family val="2"/>
      </rPr>
      <t>nom</t>
    </r>
  </si>
  <si>
    <t>hauteur utile moyenne</t>
  </si>
  <si>
    <r>
      <t>espacement des cours de cadres (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0,75d)</t>
    </r>
  </si>
  <si>
    <t>allong.lim. acier</t>
  </si>
  <si>
    <t>coef. acier</t>
  </si>
  <si>
    <t>coef. eff. tr.</t>
  </si>
  <si>
    <t>module d'Young</t>
  </si>
  <si>
    <t>hauteur utile des arm. sup.</t>
  </si>
  <si>
    <t>hauteur utile des arm. inf.</t>
  </si>
  <si>
    <r>
      <t>A</t>
    </r>
    <r>
      <rPr>
        <vertAlign val="subscript"/>
        <sz val="9"/>
        <rFont val="Arial"/>
        <family val="2"/>
      </rPr>
      <t>sw,rqd</t>
    </r>
  </si>
  <si>
    <r>
      <t>tan</t>
    </r>
    <r>
      <rPr>
        <sz val="9"/>
        <rFont val="Symbol"/>
        <family val="1"/>
      </rPr>
      <t>q</t>
    </r>
  </si>
  <si>
    <r>
      <t>A</t>
    </r>
    <r>
      <rPr>
        <vertAlign val="subscript"/>
        <sz val="9"/>
        <rFont val="Arial"/>
        <family val="2"/>
      </rPr>
      <t>sw,prov</t>
    </r>
  </si>
  <si>
    <r>
      <t xml:space="preserve">diam. </t>
    </r>
    <r>
      <rPr>
        <sz val="9"/>
        <rFont val="Arial Unicode MS"/>
        <family val="0"/>
      </rPr>
      <t>Ø</t>
    </r>
  </si>
  <si>
    <t>a</t>
  </si>
  <si>
    <t>b0</t>
  </si>
  <si>
    <t>c</t>
  </si>
  <si>
    <r>
      <t>sin</t>
    </r>
    <r>
      <rPr>
        <sz val="9"/>
        <rFont val="Symbol"/>
        <family val="1"/>
      </rPr>
      <t>q</t>
    </r>
  </si>
  <si>
    <r>
      <t xml:space="preserve">bielle :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b1</t>
    </r>
  </si>
  <si>
    <r>
      <t xml:space="preserve">nœud :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b2</t>
    </r>
  </si>
  <si>
    <t>Contraintes (MPa)</t>
  </si>
  <si>
    <r>
      <t>Cas N &lt; 0 et en particulier &lt; 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.b.h</t>
    </r>
  </si>
  <si>
    <t>Barres longitudinales (2 lits maxi)</t>
  </si>
  <si>
    <t>par paquets espacés de s</t>
  </si>
  <si>
    <r>
      <t>s</t>
    </r>
    <r>
      <rPr>
        <vertAlign val="subscript"/>
        <sz val="9"/>
        <rFont val="Arial"/>
        <family val="2"/>
      </rPr>
      <t>0</t>
    </r>
  </si>
  <si>
    <t>enrobage nominal</t>
  </si>
  <si>
    <t>Armatures longitudinales nécessaires</t>
  </si>
  <si>
    <t>bras de levier (0,9d)</t>
  </si>
  <si>
    <t>cisaillement d'effort tranchant</t>
  </si>
  <si>
    <r>
      <t>A</t>
    </r>
    <r>
      <rPr>
        <vertAlign val="subscript"/>
        <sz val="9"/>
        <rFont val="Arial"/>
        <family val="2"/>
      </rPr>
      <t>sw0,prov</t>
    </r>
  </si>
  <si>
    <t>section nécessaire espacée de s</t>
  </si>
  <si>
    <t>armatures nécessaires par unité de longueur</t>
  </si>
  <si>
    <t>armatures mises en place par unité de longueur</t>
  </si>
  <si>
    <t>£ ?</t>
  </si>
  <si>
    <t>% d'arm.longit.</t>
  </si>
  <si>
    <t>§ 6.2.2 (1)</t>
  </si>
  <si>
    <t>hauteur utile des armatures inférieures</t>
  </si>
  <si>
    <t>nb de brins par cours de cadre</t>
  </si>
  <si>
    <t>épaisseur paroi fictive</t>
  </si>
  <si>
    <t>aire torsion</t>
  </si>
  <si>
    <t>périmètre torsion</t>
  </si>
  <si>
    <r>
      <t>s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cd</t>
    </r>
  </si>
  <si>
    <r>
      <t>T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/T</t>
    </r>
    <r>
      <rPr>
        <vertAlign val="subscript"/>
        <sz val="9"/>
        <rFont val="Arial"/>
        <family val="2"/>
      </rPr>
      <t>Rd,max</t>
    </r>
  </si>
  <si>
    <r>
      <t>M</t>
    </r>
    <r>
      <rPr>
        <vertAlign val="subscript"/>
        <sz val="9"/>
        <rFont val="Arial"/>
        <family val="2"/>
      </rPr>
      <t>1</t>
    </r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</si>
  <si>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</si>
  <si>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</si>
  <si>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</si>
  <si>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Rd</t>
    </r>
  </si>
  <si>
    <r>
      <t>N</t>
    </r>
    <r>
      <rPr>
        <vertAlign val="subscript"/>
        <sz val="9"/>
        <rFont val="Arial"/>
        <family val="2"/>
      </rPr>
      <t>Rd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</si>
  <si>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</si>
  <si>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c2</t>
    </r>
  </si>
  <si>
    <t>Variante pour le cas N &lt; 0 pour les armatures d'effort tranchant,</t>
  </si>
  <si>
    <r>
      <t>mais seule solution pour une contrainte de traction supérieure à f</t>
    </r>
    <r>
      <rPr>
        <b/>
        <vertAlign val="subscript"/>
        <sz val="9"/>
        <rFont val="Arial"/>
        <family val="2"/>
      </rPr>
      <t xml:space="preserve">ctm </t>
    </r>
    <r>
      <rPr>
        <b/>
        <sz val="9"/>
        <rFont val="Arial"/>
        <family val="2"/>
      </rPr>
      <t>et sans torsion</t>
    </r>
  </si>
  <si>
    <r>
      <t>espacement des cadres d'un cours (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0,75d)</t>
    </r>
  </si>
  <si>
    <t>26 octobre 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</si>
</sst>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  <numFmt numFmtId="181" formatCode="0.0000"/>
    <numFmt numFmtId="182" formatCode="0.00000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dd/mm/yy;@"/>
    <numFmt numFmtId="187" formatCode="m/d/yyyy;@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Helv"/>
      <family val="0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</font>
    <font>
      <b/>
      <sz val="9"/>
      <name val="Tahoma"/>
      <family val="0"/>
    </font>
    <font>
      <sz val="9"/>
      <name val="Arial Narrow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Tahoma"/>
      <family val="0"/>
    </font>
    <font>
      <b/>
      <sz val="9"/>
      <name val="Symbol"/>
      <family val="1"/>
    </font>
    <font>
      <b/>
      <vertAlign val="subscript"/>
      <sz val="9"/>
      <name val="Tahoma"/>
      <family val="2"/>
    </font>
    <font>
      <b/>
      <vertAlign val="superscript"/>
      <sz val="9"/>
      <name val="Tahoma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Unicode MS"/>
      <family val="0"/>
    </font>
    <font>
      <b/>
      <vertAlign val="subscript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2" fillId="0" borderId="1" xfId="0" applyNumberFormat="1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 quotePrefix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6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0" fillId="4" borderId="15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16" xfId="0" applyFont="1" applyBorder="1" applyAlignment="1" quotePrefix="1">
      <alignment horizontal="right"/>
    </xf>
    <xf numFmtId="1" fontId="1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5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2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left"/>
    </xf>
    <xf numFmtId="186" fontId="0" fillId="0" borderId="0" xfId="0" applyNumberFormat="1" applyAlignment="1">
      <alignment horizontal="right"/>
    </xf>
    <xf numFmtId="0" fontId="0" fillId="0" borderId="15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right"/>
    </xf>
    <xf numFmtId="186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65</xdr:row>
      <xdr:rowOff>57150</xdr:rowOff>
    </xdr:from>
    <xdr:to>
      <xdr:col>13</xdr:col>
      <xdr:colOff>628650</xdr:colOff>
      <xdr:row>73</xdr:row>
      <xdr:rowOff>114300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1039475"/>
          <a:ext cx="3609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88</xdr:row>
      <xdr:rowOff>66675</xdr:rowOff>
    </xdr:from>
    <xdr:to>
      <xdr:col>12</xdr:col>
      <xdr:colOff>152400</xdr:colOff>
      <xdr:row>92</xdr:row>
      <xdr:rowOff>104775</xdr:rowOff>
    </xdr:to>
    <xdr:pic>
      <xdr:nvPicPr>
        <xdr:cNvPr id="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4935200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93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9.421875" style="21" customWidth="1"/>
    <col min="2" max="2" width="7.7109375" style="21" customWidth="1"/>
    <col min="3" max="3" width="7.8515625" style="21" customWidth="1"/>
    <col min="4" max="4" width="7.421875" style="21" customWidth="1"/>
    <col min="5" max="5" width="5.28125" style="21" customWidth="1"/>
    <col min="6" max="6" width="7.421875" style="21" customWidth="1"/>
    <col min="7" max="7" width="9.421875" style="22" customWidth="1"/>
    <col min="8" max="8" width="5.28125" style="23" customWidth="1"/>
    <col min="9" max="9" width="6.8515625" style="24" customWidth="1"/>
    <col min="10" max="10" width="6.28125" style="21" customWidth="1"/>
    <col min="11" max="12" width="7.7109375" style="21" customWidth="1"/>
    <col min="13" max="13" width="7.421875" style="21" customWidth="1"/>
    <col min="14" max="18" width="9.8515625" style="21" customWidth="1"/>
    <col min="19" max="19" width="6.28125" style="21" customWidth="1"/>
    <col min="20" max="20" width="11.421875" style="21" customWidth="1"/>
    <col min="21" max="21" width="7.28125" style="21" customWidth="1"/>
    <col min="22" max="30" width="6.8515625" style="21" customWidth="1"/>
    <col min="31" max="31" width="9.8515625" style="21" customWidth="1"/>
    <col min="32" max="32" width="7.28125" style="21" customWidth="1"/>
    <col min="33" max="33" width="9.8515625" style="21" customWidth="1"/>
    <col min="34" max="16384" width="11.421875" style="21" customWidth="1"/>
  </cols>
  <sheetData>
    <row r="1" spans="1:32" ht="13.5">
      <c r="A1" s="20" t="s">
        <v>160</v>
      </c>
      <c r="K1" s="78" t="s">
        <v>54</v>
      </c>
      <c r="M1" s="148">
        <f ca="1">NOW()</f>
        <v>41298.41013460648</v>
      </c>
      <c r="N1" s="149"/>
      <c r="O1" s="135"/>
      <c r="P1" s="135"/>
      <c r="Q1" s="135"/>
      <c r="R1" s="135"/>
      <c r="AE1" s="24" t="s">
        <v>194</v>
      </c>
      <c r="AF1" s="23"/>
    </row>
    <row r="2" spans="1:32" ht="12">
      <c r="A2" s="21" t="s">
        <v>137</v>
      </c>
      <c r="K2" s="79" t="s">
        <v>227</v>
      </c>
      <c r="U2" s="48">
        <v>1</v>
      </c>
      <c r="V2" s="89" t="s">
        <v>81</v>
      </c>
      <c r="W2" s="89"/>
      <c r="X2" s="49"/>
      <c r="AE2" s="112" t="s">
        <v>27</v>
      </c>
      <c r="AF2" s="28">
        <f>ATAN(B82)</f>
        <v>0.8829968765854308</v>
      </c>
    </row>
    <row r="3" spans="1:32" ht="12.75">
      <c r="A3" s="25"/>
      <c r="K3" s="78" t="s">
        <v>55</v>
      </c>
      <c r="L3"/>
      <c r="U3" s="50">
        <v>2</v>
      </c>
      <c r="V3" s="40" t="s">
        <v>82</v>
      </c>
      <c r="W3" s="40"/>
      <c r="X3" s="51"/>
      <c r="AE3" s="111" t="s">
        <v>190</v>
      </c>
      <c r="AF3" s="35">
        <f>SIN(AF2)</f>
        <v>0.7726448782820526</v>
      </c>
    </row>
    <row r="4" spans="1:33" ht="14.25" thickBot="1">
      <c r="A4" s="1" t="s">
        <v>12</v>
      </c>
      <c r="K4" s="78" t="s">
        <v>56</v>
      </c>
      <c r="L4" s="64"/>
      <c r="U4" s="52">
        <v>3</v>
      </c>
      <c r="V4" s="90" t="s">
        <v>83</v>
      </c>
      <c r="W4" s="90"/>
      <c r="X4" s="53"/>
      <c r="Y4" s="18" t="s">
        <v>118</v>
      </c>
      <c r="Z4" s="70">
        <f>I26/(I26+B14/200/B16)</f>
        <v>0.6168582375478926</v>
      </c>
      <c r="AE4" s="107" t="s">
        <v>187</v>
      </c>
      <c r="AF4" s="27">
        <f>(2*B72+1)*B19</f>
        <v>156</v>
      </c>
      <c r="AG4" s="28">
        <f>AF4</f>
        <v>156</v>
      </c>
    </row>
    <row r="5" spans="1:33" ht="14.25" thickTop="1">
      <c r="A5" s="22" t="s">
        <v>61</v>
      </c>
      <c r="B5" s="80">
        <v>0.7</v>
      </c>
      <c r="C5" s="24" t="s">
        <v>31</v>
      </c>
      <c r="D5" s="21" t="s">
        <v>139</v>
      </c>
      <c r="K5" s="78" t="s">
        <v>57</v>
      </c>
      <c r="L5" s="22"/>
      <c r="M5" s="104"/>
      <c r="N5" s="104"/>
      <c r="O5" s="104"/>
      <c r="P5" s="104"/>
      <c r="Q5" s="104"/>
      <c r="R5" s="104"/>
      <c r="Y5" s="18" t="s">
        <v>119</v>
      </c>
      <c r="Z5" s="69">
        <f>0.8*Z4*(1-0.4*Z4)</f>
        <v>0.37172208276449253</v>
      </c>
      <c r="AE5" s="108" t="s">
        <v>188</v>
      </c>
      <c r="AF5" s="109">
        <f>B69*B70+2*B69</f>
        <v>30</v>
      </c>
      <c r="AG5" s="110">
        <f>C69*C70+2*C69</f>
        <v>48</v>
      </c>
    </row>
    <row r="6" spans="1:33" ht="13.5">
      <c r="A6" s="22" t="s">
        <v>62</v>
      </c>
      <c r="B6" s="32">
        <v>-0.7</v>
      </c>
      <c r="C6" s="24" t="s">
        <v>15</v>
      </c>
      <c r="D6" s="21" t="s">
        <v>157</v>
      </c>
      <c r="K6" s="78" t="s">
        <v>58</v>
      </c>
      <c r="U6" s="26" t="s">
        <v>36</v>
      </c>
      <c r="V6" s="27">
        <v>1.05</v>
      </c>
      <c r="W6" s="28">
        <v>25</v>
      </c>
      <c r="Z6" s="24" t="s">
        <v>105</v>
      </c>
      <c r="AE6" s="111" t="s">
        <v>189</v>
      </c>
      <c r="AF6" s="34">
        <f>(AF4*B82+AF5)/SQRT(1+B82^2)</f>
        <v>139.57775532636745</v>
      </c>
      <c r="AG6" s="35">
        <f>(AG4*B82+AG5)/SQRT(1+B82^2)</f>
        <v>151.00484791498778</v>
      </c>
    </row>
    <row r="7" spans="1:35" ht="13.5">
      <c r="A7" s="22" t="s">
        <v>14</v>
      </c>
      <c r="B7" s="32">
        <v>0.2</v>
      </c>
      <c r="C7" s="24" t="s">
        <v>15</v>
      </c>
      <c r="D7" s="24" t="s">
        <v>63</v>
      </c>
      <c r="G7" s="55"/>
      <c r="N7" s="114">
        <f>IF(Z7&gt;3,"Utiliser le programme N° 126","")</f>
      </c>
      <c r="O7" s="114"/>
      <c r="P7" s="114"/>
      <c r="Q7" s="114"/>
      <c r="R7" s="114"/>
      <c r="U7" s="29" t="s">
        <v>66</v>
      </c>
      <c r="V7" s="30">
        <v>1.08</v>
      </c>
      <c r="W7" s="31">
        <v>50</v>
      </c>
      <c r="Z7" s="67">
        <f>IF(AF19&lt;0,1,macf(Z$8,1))</f>
        <v>2</v>
      </c>
      <c r="AB7" s="70" t="s">
        <v>163</v>
      </c>
      <c r="AE7" s="64" t="s">
        <v>44</v>
      </c>
      <c r="AF7" s="136">
        <f>VLOOKUP(B$13,tabfck,9)</f>
        <v>3.4177500000000007</v>
      </c>
      <c r="AG7" s="21" t="s">
        <v>166</v>
      </c>
      <c r="AI7" s="76"/>
    </row>
    <row r="8" spans="1:28" ht="13.5">
      <c r="A8" s="22" t="s">
        <v>30</v>
      </c>
      <c r="B8" s="32">
        <v>0</v>
      </c>
      <c r="C8" s="24" t="s">
        <v>31</v>
      </c>
      <c r="D8" s="24" t="s">
        <v>64</v>
      </c>
      <c r="U8" s="33" t="s">
        <v>67</v>
      </c>
      <c r="V8" s="34">
        <v>1.15</v>
      </c>
      <c r="W8" s="35">
        <v>75</v>
      </c>
      <c r="Z8" s="101" t="str">
        <f>flex(B5,B6,B7,B9,B10,B11,B12,B13,I30,I31,I27,I26,I35,I34,I36,B18,B20,B19,I28)</f>
        <v> 200000000 1 166666666 2000000000000000000000000 436498039 3000000000000 442531915 2000000000000 287824848 0000000000000000000000000000000000000 230933087 0 100000000 1 437626765 0</v>
      </c>
      <c r="AA8" s="21" t="s">
        <v>106</v>
      </c>
      <c r="AB8" s="105" t="str">
        <f>MN(N,B5,B9,B10,I30,I33,I27,I26,AF7,I28,1,1,AF19)</f>
        <v>000000000000000000000000000000000000000000000000-700000000 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9" spans="1:32" ht="12">
      <c r="A9" s="22" t="s">
        <v>0</v>
      </c>
      <c r="B9" s="32">
        <v>0.4</v>
      </c>
      <c r="C9" s="24" t="s">
        <v>17</v>
      </c>
      <c r="D9" s="24" t="s">
        <v>32</v>
      </c>
      <c r="U9" s="21" t="s">
        <v>162</v>
      </c>
      <c r="AF9" s="23"/>
    </row>
    <row r="10" spans="1:32" ht="13.5">
      <c r="A10" s="22" t="s">
        <v>1</v>
      </c>
      <c r="B10" s="32">
        <v>0.6</v>
      </c>
      <c r="C10" s="24" t="s">
        <v>17</v>
      </c>
      <c r="D10" s="24" t="s">
        <v>45</v>
      </c>
      <c r="G10"/>
      <c r="Y10" s="18" t="s">
        <v>141</v>
      </c>
      <c r="Z10" s="94">
        <f>ROUND(0.6*(1-B7/250)*I30,2)</f>
        <v>9.99</v>
      </c>
      <c r="AE10" s="23"/>
      <c r="AF10" s="23"/>
    </row>
    <row r="11" spans="1:32" ht="13.5">
      <c r="A11" s="22" t="s">
        <v>21</v>
      </c>
      <c r="B11" s="32">
        <v>0.53</v>
      </c>
      <c r="C11" s="24" t="s">
        <v>17</v>
      </c>
      <c r="D11" s="24" t="s">
        <v>209</v>
      </c>
      <c r="E11" s="23"/>
      <c r="F11" s="23"/>
      <c r="G11"/>
      <c r="Y11" s="18" t="s">
        <v>142</v>
      </c>
      <c r="Z11" s="95">
        <f>ROUND(0.75*(1-B13/250)*I30,2)</f>
        <v>11.25</v>
      </c>
      <c r="AE11" s="23"/>
      <c r="AF11" s="23"/>
    </row>
    <row r="12" spans="1:33" ht="13.5">
      <c r="A12" s="22" t="s">
        <v>95</v>
      </c>
      <c r="B12" s="32">
        <v>0.07</v>
      </c>
      <c r="C12" s="24" t="s">
        <v>17</v>
      </c>
      <c r="D12" s="54" t="s">
        <v>96</v>
      </c>
      <c r="E12" s="23"/>
      <c r="F12" s="23"/>
      <c r="G12"/>
      <c r="J12" s="83"/>
      <c r="K12" s="84" t="s">
        <v>127</v>
      </c>
      <c r="L12" s="49"/>
      <c r="M12" s="23"/>
      <c r="AE12" s="107" t="s">
        <v>216</v>
      </c>
      <c r="AF12" s="27">
        <f>B5+N*(B11-B10/2)</f>
        <v>0.5389999999999999</v>
      </c>
      <c r="AG12" s="49" t="s">
        <v>31</v>
      </c>
    </row>
    <row r="13" spans="1:33" ht="13.5">
      <c r="A13" s="22" t="s">
        <v>23</v>
      </c>
      <c r="B13" s="32">
        <v>25</v>
      </c>
      <c r="C13" s="24" t="s">
        <v>19</v>
      </c>
      <c r="D13" s="24" t="s">
        <v>33</v>
      </c>
      <c r="E13" s="23"/>
      <c r="G13"/>
      <c r="J13" s="85"/>
      <c r="K13" s="86" t="str">
        <f>IF(Z7&gt;3,"",IF(Z7=2,"PARTIELLEMENT","ENTIEREMENT"))</f>
        <v>PARTIELLEMENT</v>
      </c>
      <c r="L13" s="51"/>
      <c r="U13" s="2" t="s">
        <v>3</v>
      </c>
      <c r="V13" s="3"/>
      <c r="W13" s="3"/>
      <c r="X13" s="3"/>
      <c r="Y13" s="3"/>
      <c r="Z13" s="3"/>
      <c r="AA13" s="3"/>
      <c r="AB13" s="3"/>
      <c r="AC13" s="3"/>
      <c r="AE13" s="143" t="s">
        <v>17</v>
      </c>
      <c r="AF13" s="30">
        <f>AF12/B9/B11/B11/I30</f>
        <v>0.2878248487006051</v>
      </c>
      <c r="AG13" s="51"/>
    </row>
    <row r="14" spans="1:33" ht="13.5">
      <c r="A14" s="22" t="s">
        <v>24</v>
      </c>
      <c r="B14" s="32">
        <v>500</v>
      </c>
      <c r="C14" s="24" t="s">
        <v>19</v>
      </c>
      <c r="D14" s="24" t="s">
        <v>34</v>
      </c>
      <c r="F14" s="23"/>
      <c r="G14"/>
      <c r="J14" s="87"/>
      <c r="K14" s="88" t="str">
        <f>IF(Z7=1,"COMPRIMEE",IF(Z7&gt;3,"","TENDUE"))</f>
        <v>TENDUE</v>
      </c>
      <c r="L14" s="53"/>
      <c r="U14" s="4">
        <v>1</v>
      </c>
      <c r="V14" s="5">
        <v>2</v>
      </c>
      <c r="W14" s="5">
        <v>3</v>
      </c>
      <c r="X14" s="5">
        <v>4</v>
      </c>
      <c r="Y14" s="5">
        <v>5</v>
      </c>
      <c r="Z14" s="5">
        <v>6</v>
      </c>
      <c r="AA14" s="5">
        <v>7</v>
      </c>
      <c r="AB14" s="5">
        <v>8</v>
      </c>
      <c r="AC14" s="6">
        <v>9</v>
      </c>
      <c r="AE14" s="143" t="s">
        <v>158</v>
      </c>
      <c r="AF14" s="30">
        <f>IF(AF13&lt;Z5,1.25*(1-SQRT(1-2*AF13)),0)</f>
        <v>0.435722806526789</v>
      </c>
      <c r="AG14" s="51"/>
    </row>
    <row r="15" spans="1:33" ht="13.5">
      <c r="A15" s="18" t="s">
        <v>25</v>
      </c>
      <c r="B15" s="32">
        <v>1.5</v>
      </c>
      <c r="C15" s="24"/>
      <c r="D15" s="24" t="s">
        <v>59</v>
      </c>
      <c r="U15" s="7" t="s">
        <v>2</v>
      </c>
      <c r="V15" s="8" t="s">
        <v>4</v>
      </c>
      <c r="W15" s="8" t="s">
        <v>5</v>
      </c>
      <c r="X15" s="8" t="s">
        <v>6</v>
      </c>
      <c r="Y15" s="8" t="s">
        <v>7</v>
      </c>
      <c r="Z15" s="8" t="s">
        <v>8</v>
      </c>
      <c r="AA15" s="8" t="s">
        <v>9</v>
      </c>
      <c r="AB15" s="8" t="s">
        <v>10</v>
      </c>
      <c r="AC15" s="9" t="s">
        <v>11</v>
      </c>
      <c r="AE15" s="108" t="s">
        <v>158</v>
      </c>
      <c r="AF15" s="30">
        <f>AF14*B11</f>
        <v>0.2309330874591982</v>
      </c>
      <c r="AG15" s="51" t="s">
        <v>17</v>
      </c>
    </row>
    <row r="16" spans="1:33" ht="13.5">
      <c r="A16" s="18" t="s">
        <v>26</v>
      </c>
      <c r="B16" s="32">
        <v>1.15</v>
      </c>
      <c r="C16" s="24"/>
      <c r="D16" s="24" t="s">
        <v>60</v>
      </c>
      <c r="U16" s="10">
        <v>12</v>
      </c>
      <c r="V16" s="11">
        <v>1.6</v>
      </c>
      <c r="W16" s="11">
        <v>27</v>
      </c>
      <c r="X16" s="11">
        <v>3.5</v>
      </c>
      <c r="Y16" s="11">
        <v>1.8</v>
      </c>
      <c r="Z16" s="11">
        <v>3.5</v>
      </c>
      <c r="AA16" s="11">
        <v>2</v>
      </c>
      <c r="AB16" s="11">
        <v>2</v>
      </c>
      <c r="AC16" s="12">
        <f aca="true" t="shared" si="0" ref="AC16:AC29">1.05*W16/1.2*Y16/U16*gc</f>
        <v>5.315625000000001</v>
      </c>
      <c r="AE16" s="143" t="s">
        <v>217</v>
      </c>
      <c r="AF16" s="30">
        <f>IF(AF15=0,0,I26*(1-AF14)/AF14)</f>
        <v>4.532629799433768</v>
      </c>
      <c r="AG16" s="139" t="s">
        <v>85</v>
      </c>
    </row>
    <row r="17" spans="2:33" ht="13.5">
      <c r="B17" s="32" t="s">
        <v>66</v>
      </c>
      <c r="D17" s="24" t="s">
        <v>65</v>
      </c>
      <c r="U17" s="7">
        <v>16</v>
      </c>
      <c r="V17" s="8">
        <v>1.9</v>
      </c>
      <c r="W17" s="8">
        <v>29</v>
      </c>
      <c r="X17" s="8">
        <v>3.5</v>
      </c>
      <c r="Y17" s="8">
        <v>1.9</v>
      </c>
      <c r="Z17" s="8">
        <v>3.5</v>
      </c>
      <c r="AA17" s="8">
        <v>2</v>
      </c>
      <c r="AB17" s="8">
        <v>2</v>
      </c>
      <c r="AC17" s="13">
        <f t="shared" si="0"/>
        <v>4.5199218750000005</v>
      </c>
      <c r="AE17" s="143" t="s">
        <v>218</v>
      </c>
      <c r="AF17" s="144">
        <f>IF(AF16=0,0,sis(AF16,B14,B16,I35,I36))</f>
        <v>436.49803906361984</v>
      </c>
      <c r="AG17" s="51" t="s">
        <v>19</v>
      </c>
    </row>
    <row r="18" spans="1:33" ht="12">
      <c r="A18" s="22" t="s">
        <v>68</v>
      </c>
      <c r="B18" s="32">
        <v>1</v>
      </c>
      <c r="D18" s="24" t="s">
        <v>35</v>
      </c>
      <c r="U18" s="7">
        <v>20</v>
      </c>
      <c r="V18" s="8">
        <v>2.2</v>
      </c>
      <c r="W18" s="8">
        <v>30</v>
      </c>
      <c r="X18" s="8">
        <v>3.5</v>
      </c>
      <c r="Y18" s="8">
        <v>2</v>
      </c>
      <c r="Z18" s="8">
        <v>3.5</v>
      </c>
      <c r="AA18" s="8">
        <v>2</v>
      </c>
      <c r="AB18" s="8">
        <v>2</v>
      </c>
      <c r="AC18" s="13">
        <f t="shared" si="0"/>
        <v>3.9375</v>
      </c>
      <c r="AE18" s="108" t="s">
        <v>16</v>
      </c>
      <c r="AF18" s="30">
        <f>B11*(1-0.4*AF14)</f>
        <v>0.43762676501632075</v>
      </c>
      <c r="AG18" s="51" t="s">
        <v>19</v>
      </c>
    </row>
    <row r="19" spans="1:33" ht="13.5">
      <c r="A19" s="64" t="s">
        <v>100</v>
      </c>
      <c r="B19" s="96">
        <v>12</v>
      </c>
      <c r="C19" s="63" t="s">
        <v>29</v>
      </c>
      <c r="D19" s="91" t="s">
        <v>138</v>
      </c>
      <c r="U19" s="7">
        <v>25</v>
      </c>
      <c r="V19" s="8">
        <v>2.6</v>
      </c>
      <c r="W19" s="8">
        <v>31</v>
      </c>
      <c r="X19" s="8">
        <v>3.5</v>
      </c>
      <c r="Y19" s="8">
        <v>2.1</v>
      </c>
      <c r="Z19" s="8">
        <v>3.5</v>
      </c>
      <c r="AA19" s="8">
        <v>2</v>
      </c>
      <c r="AB19" s="8">
        <v>2</v>
      </c>
      <c r="AC19" s="13">
        <f t="shared" si="0"/>
        <v>3.4177500000000007</v>
      </c>
      <c r="AE19" s="111" t="s">
        <v>219</v>
      </c>
      <c r="AF19" s="145">
        <f>IF(AF17=0,1000,(AF12/AF18-N)/AF17*10000)</f>
        <v>44.25319154375824</v>
      </c>
      <c r="AG19" s="53" t="s">
        <v>13</v>
      </c>
    </row>
    <row r="20" spans="1:32" ht="13.5" thickBot="1">
      <c r="A20" s="64" t="s">
        <v>101</v>
      </c>
      <c r="B20" s="97">
        <v>5</v>
      </c>
      <c r="C20" s="63"/>
      <c r="D20" s="63" t="s">
        <v>210</v>
      </c>
      <c r="U20" s="7">
        <v>30</v>
      </c>
      <c r="V20" s="8">
        <v>2.9</v>
      </c>
      <c r="W20" s="8">
        <v>33</v>
      </c>
      <c r="X20" s="8">
        <v>3.5</v>
      </c>
      <c r="Y20" s="8">
        <v>2.2</v>
      </c>
      <c r="Z20" s="8">
        <v>3.5</v>
      </c>
      <c r="AA20" s="8">
        <v>2</v>
      </c>
      <c r="AB20" s="8">
        <v>2</v>
      </c>
      <c r="AC20" s="13">
        <f t="shared" si="0"/>
        <v>3.1762500000000005</v>
      </c>
      <c r="AE20" s="22"/>
      <c r="AF20" s="23"/>
    </row>
    <row r="21" spans="21:32" ht="12.75" thickTop="1">
      <c r="U21" s="14">
        <v>35</v>
      </c>
      <c r="V21" s="8">
        <v>3.2</v>
      </c>
      <c r="W21" s="8">
        <v>34</v>
      </c>
      <c r="X21" s="8">
        <v>3.5</v>
      </c>
      <c r="Y21" s="8">
        <v>2.25</v>
      </c>
      <c r="Z21" s="8">
        <v>3.5</v>
      </c>
      <c r="AA21" s="8">
        <v>2</v>
      </c>
      <c r="AB21" s="8">
        <v>2</v>
      </c>
      <c r="AC21" s="13">
        <f t="shared" si="0"/>
        <v>2.8687500000000004</v>
      </c>
      <c r="AE21" s="22"/>
      <c r="AF21" s="23"/>
    </row>
    <row r="22" spans="21:33" ht="13.5">
      <c r="U22" s="14">
        <v>40</v>
      </c>
      <c r="V22" s="8">
        <v>3.5</v>
      </c>
      <c r="W22" s="8">
        <v>35</v>
      </c>
      <c r="X22" s="8">
        <v>3.5</v>
      </c>
      <c r="Y22" s="8">
        <v>2.3</v>
      </c>
      <c r="Z22" s="8">
        <v>3.5</v>
      </c>
      <c r="AA22" s="8">
        <v>2</v>
      </c>
      <c r="AB22" s="8">
        <v>2</v>
      </c>
      <c r="AC22" s="13">
        <f t="shared" si="0"/>
        <v>2.64140625</v>
      </c>
      <c r="AD22" s="48">
        <v>1</v>
      </c>
      <c r="AE22" s="137" t="s">
        <v>222</v>
      </c>
      <c r="AF22" s="27">
        <f aca="true" t="shared" si="1" ref="AF22:AF28">macf(AB$8,AD22)</f>
        <v>0</v>
      </c>
      <c r="AG22" s="138" t="s">
        <v>85</v>
      </c>
    </row>
    <row r="23" spans="1:33" ht="13.5">
      <c r="A23" s="20" t="s">
        <v>199</v>
      </c>
      <c r="H23" s="1" t="s">
        <v>125</v>
      </c>
      <c r="I23"/>
      <c r="J23"/>
      <c r="L23" s="102"/>
      <c r="U23" s="7">
        <v>45</v>
      </c>
      <c r="V23" s="8">
        <v>3.8</v>
      </c>
      <c r="W23" s="8">
        <v>36</v>
      </c>
      <c r="X23" s="8">
        <v>3.5</v>
      </c>
      <c r="Y23" s="8">
        <v>2.4</v>
      </c>
      <c r="Z23" s="8">
        <v>3.5</v>
      </c>
      <c r="AA23" s="8">
        <v>2</v>
      </c>
      <c r="AB23" s="8">
        <v>2</v>
      </c>
      <c r="AC23" s="13">
        <f t="shared" si="0"/>
        <v>2.5200000000000005</v>
      </c>
      <c r="AD23" s="50">
        <v>2</v>
      </c>
      <c r="AE23" s="19" t="s">
        <v>223</v>
      </c>
      <c r="AF23" s="30">
        <f t="shared" si="1"/>
        <v>0</v>
      </c>
      <c r="AG23" s="139" t="s">
        <v>85</v>
      </c>
    </row>
    <row r="24" spans="2:33" ht="13.5">
      <c r="B24" s="56" t="s">
        <v>88</v>
      </c>
      <c r="C24" s="67" t="s">
        <v>87</v>
      </c>
      <c r="D24" s="57" t="s">
        <v>86</v>
      </c>
      <c r="H24" s="22" t="s">
        <v>158</v>
      </c>
      <c r="I24" s="99">
        <f>IF(Z7&gt;1,macf(Z8,13),macf(AB8,12))</f>
        <v>0.23093308</v>
      </c>
      <c r="J24" s="24" t="s">
        <v>17</v>
      </c>
      <c r="K24" s="21" t="s">
        <v>159</v>
      </c>
      <c r="L24" s="102"/>
      <c r="M24" s="30"/>
      <c r="U24" s="7">
        <v>50</v>
      </c>
      <c r="V24" s="8">
        <v>4.1</v>
      </c>
      <c r="W24" s="8">
        <v>37</v>
      </c>
      <c r="X24" s="8">
        <v>3.5</v>
      </c>
      <c r="Y24" s="8">
        <v>2.45</v>
      </c>
      <c r="Z24" s="8">
        <v>3.5</v>
      </c>
      <c r="AA24" s="8">
        <v>2</v>
      </c>
      <c r="AB24" s="8">
        <v>2</v>
      </c>
      <c r="AC24" s="13">
        <f t="shared" si="0"/>
        <v>2.3795625</v>
      </c>
      <c r="AD24" s="50">
        <v>3</v>
      </c>
      <c r="AE24" s="140" t="s">
        <v>220</v>
      </c>
      <c r="AF24" s="30">
        <f t="shared" si="1"/>
        <v>0</v>
      </c>
      <c r="AG24" s="51" t="s">
        <v>31</v>
      </c>
    </row>
    <row r="25" spans="1:33" ht="13.5">
      <c r="A25" s="18" t="s">
        <v>89</v>
      </c>
      <c r="B25" s="92">
        <f>IF(Z7=1,macf(AB$8,8),"")</f>
      </c>
      <c r="C25" s="38">
        <f>IF(Z7=2,macf(Z$8,2),"")</f>
        <v>16.666666</v>
      </c>
      <c r="D25" s="60"/>
      <c r="E25" s="21" t="s">
        <v>19</v>
      </c>
      <c r="F25" s="24" t="s">
        <v>128</v>
      </c>
      <c r="H25" s="22" t="s">
        <v>107</v>
      </c>
      <c r="I25" s="103">
        <f>IF(B6=0,"",B5/B6/B10)</f>
        <v>-1.6666666666666667</v>
      </c>
      <c r="K25" s="24" t="s">
        <v>110</v>
      </c>
      <c r="L25" s="76"/>
      <c r="M25" s="30"/>
      <c r="N25" s="30"/>
      <c r="O25" s="30"/>
      <c r="P25" s="30"/>
      <c r="Q25" s="30"/>
      <c r="R25" s="30"/>
      <c r="U25" s="7">
        <v>55</v>
      </c>
      <c r="V25" s="8">
        <v>4.2</v>
      </c>
      <c r="W25" s="8">
        <v>38</v>
      </c>
      <c r="X25" s="8">
        <v>3.2</v>
      </c>
      <c r="Y25" s="8">
        <v>2.5</v>
      </c>
      <c r="Z25" s="8">
        <v>3.1</v>
      </c>
      <c r="AA25" s="8">
        <v>2.2</v>
      </c>
      <c r="AB25" s="8">
        <v>1.75</v>
      </c>
      <c r="AC25" s="13">
        <f t="shared" si="0"/>
        <v>2.2670454545454546</v>
      </c>
      <c r="AD25" s="50">
        <v>4</v>
      </c>
      <c r="AE25" s="140" t="s">
        <v>221</v>
      </c>
      <c r="AF25" s="30">
        <f t="shared" si="1"/>
        <v>0</v>
      </c>
      <c r="AG25" s="51" t="s">
        <v>15</v>
      </c>
    </row>
    <row r="26" spans="1:33" ht="13.5">
      <c r="A26" s="18" t="s">
        <v>90</v>
      </c>
      <c r="B26" s="45">
        <f>IF(Z7=1,macf(AB$8,9),"")</f>
      </c>
      <c r="C26" s="61"/>
      <c r="D26" s="61"/>
      <c r="E26" s="21" t="s">
        <v>19</v>
      </c>
      <c r="F26" s="24" t="s">
        <v>129</v>
      </c>
      <c r="H26" s="18" t="s">
        <v>103</v>
      </c>
      <c r="I26" s="41">
        <f>VLOOKUP(B13,tabfck,6)</f>
        <v>3.5</v>
      </c>
      <c r="J26" s="54" t="s">
        <v>85</v>
      </c>
      <c r="K26" s="21" t="s">
        <v>52</v>
      </c>
      <c r="L26" s="76"/>
      <c r="M26" s="30"/>
      <c r="N26" s="30"/>
      <c r="O26" s="30"/>
      <c r="P26" s="30"/>
      <c r="Q26" s="30"/>
      <c r="R26" s="30"/>
      <c r="U26" s="7">
        <v>60</v>
      </c>
      <c r="V26" s="8">
        <v>4.4</v>
      </c>
      <c r="W26" s="8">
        <v>39</v>
      </c>
      <c r="X26" s="8">
        <v>3</v>
      </c>
      <c r="Y26" s="8">
        <v>2.6</v>
      </c>
      <c r="Z26" s="8">
        <v>2.9</v>
      </c>
      <c r="AA26" s="8">
        <v>2.3</v>
      </c>
      <c r="AB26" s="8">
        <v>1.6</v>
      </c>
      <c r="AC26" s="13">
        <f t="shared" si="0"/>
        <v>2.2181250000000006</v>
      </c>
      <c r="AD26" s="50">
        <v>8</v>
      </c>
      <c r="AE26" s="19" t="s">
        <v>89</v>
      </c>
      <c r="AF26" s="146">
        <f t="shared" si="1"/>
        <v>0</v>
      </c>
      <c r="AG26" s="141" t="s">
        <v>19</v>
      </c>
    </row>
    <row r="27" spans="1:33" ht="13.5">
      <c r="A27" s="18" t="s">
        <v>91</v>
      </c>
      <c r="B27" s="66"/>
      <c r="C27" s="44">
        <f>IF(Z7=2,macf(Z$8,4),"")</f>
        <v>0</v>
      </c>
      <c r="D27" s="44">
        <f>IF(Z7&lt;3,"",macf(Z8,4))</f>
      </c>
      <c r="E27" s="21" t="s">
        <v>19</v>
      </c>
      <c r="F27" s="24" t="s">
        <v>130</v>
      </c>
      <c r="H27" s="18" t="s">
        <v>104</v>
      </c>
      <c r="I27" s="41">
        <f>VLOOKUP(B13,tabfck,7)</f>
        <v>2</v>
      </c>
      <c r="J27" s="54" t="s">
        <v>85</v>
      </c>
      <c r="K27" s="21" t="s">
        <v>53</v>
      </c>
      <c r="L27" s="76"/>
      <c r="N27" s="30"/>
      <c r="O27" s="30"/>
      <c r="P27" s="30"/>
      <c r="Q27" s="30"/>
      <c r="R27" s="30"/>
      <c r="U27" s="7">
        <v>70</v>
      </c>
      <c r="V27" s="8">
        <v>4.6</v>
      </c>
      <c r="W27" s="8">
        <v>41</v>
      </c>
      <c r="X27" s="8">
        <v>2.8</v>
      </c>
      <c r="Y27" s="8">
        <v>2.7</v>
      </c>
      <c r="Z27" s="8">
        <v>2.7</v>
      </c>
      <c r="AA27" s="8">
        <v>2.4</v>
      </c>
      <c r="AB27" s="8">
        <v>1.45</v>
      </c>
      <c r="AC27" s="13">
        <f t="shared" si="0"/>
        <v>2.0756250000000005</v>
      </c>
      <c r="AD27" s="50">
        <v>9</v>
      </c>
      <c r="AE27" s="19" t="s">
        <v>90</v>
      </c>
      <c r="AF27" s="146">
        <f t="shared" si="1"/>
        <v>0</v>
      </c>
      <c r="AG27" s="51" t="s">
        <v>19</v>
      </c>
    </row>
    <row r="28" spans="1:33" ht="13.5">
      <c r="A28" s="18" t="s">
        <v>92</v>
      </c>
      <c r="B28" s="66"/>
      <c r="C28" s="44">
        <f>IF(Z7=2,macf(Z$8,5),"")</f>
        <v>436.49803</v>
      </c>
      <c r="D28" s="44">
        <f>IF(Z7&lt;3,"",macf(Z8,5))</f>
      </c>
      <c r="E28" s="21" t="s">
        <v>19</v>
      </c>
      <c r="F28" s="24" t="s">
        <v>131</v>
      </c>
      <c r="H28" s="22" t="s">
        <v>10</v>
      </c>
      <c r="I28" s="65">
        <f>VLOOKUP(B$13,tabfck,8)</f>
        <v>2</v>
      </c>
      <c r="K28" s="21" t="s">
        <v>164</v>
      </c>
      <c r="L28" s="76"/>
      <c r="N28" s="30"/>
      <c r="O28" s="30"/>
      <c r="P28" s="30"/>
      <c r="Q28" s="30"/>
      <c r="R28" s="30"/>
      <c r="U28" s="7">
        <v>80</v>
      </c>
      <c r="V28" s="8">
        <v>4.8</v>
      </c>
      <c r="W28" s="8">
        <v>42</v>
      </c>
      <c r="X28" s="8">
        <v>2.8</v>
      </c>
      <c r="Y28" s="8">
        <v>2.8</v>
      </c>
      <c r="Z28" s="8">
        <v>2.6</v>
      </c>
      <c r="AA28" s="8">
        <v>2.5</v>
      </c>
      <c r="AB28" s="8">
        <v>1.4</v>
      </c>
      <c r="AC28" s="13">
        <f t="shared" si="0"/>
        <v>1.9293749999999998</v>
      </c>
      <c r="AD28" s="52">
        <v>12</v>
      </c>
      <c r="AE28" s="142" t="s">
        <v>158</v>
      </c>
      <c r="AF28" s="147">
        <f t="shared" si="1"/>
        <v>0</v>
      </c>
      <c r="AG28" s="53" t="s">
        <v>17</v>
      </c>
    </row>
    <row r="29" spans="1:29" ht="13.5">
      <c r="A29" s="37" t="s">
        <v>93</v>
      </c>
      <c r="B29" s="58"/>
      <c r="C29" s="42">
        <f>IF(Z7=2,macf(Z$8,6),"")</f>
        <v>0</v>
      </c>
      <c r="D29" s="42">
        <f>IF(Z7&lt;3,"",macf(Z8,6))</f>
      </c>
      <c r="E29" s="39" t="s">
        <v>13</v>
      </c>
      <c r="F29" s="24" t="s">
        <v>132</v>
      </c>
      <c r="H29" s="19" t="s">
        <v>27</v>
      </c>
      <c r="I29" s="41">
        <f>ATAN(1/B18)/PI()*180</f>
        <v>45</v>
      </c>
      <c r="J29" s="39" t="s">
        <v>28</v>
      </c>
      <c r="K29" s="40" t="s">
        <v>126</v>
      </c>
      <c r="L29" s="77"/>
      <c r="U29" s="15">
        <v>90</v>
      </c>
      <c r="V29" s="16">
        <v>5</v>
      </c>
      <c r="W29" s="16">
        <v>44</v>
      </c>
      <c r="X29" s="16">
        <v>2.8</v>
      </c>
      <c r="Y29" s="16">
        <v>2.8</v>
      </c>
      <c r="Z29" s="16">
        <v>2.6</v>
      </c>
      <c r="AA29" s="16">
        <v>2.6</v>
      </c>
      <c r="AB29" s="16">
        <v>1.4</v>
      </c>
      <c r="AC29" s="17">
        <f t="shared" si="0"/>
        <v>1.7966666666666669</v>
      </c>
    </row>
    <row r="30" spans="1:18" ht="13.5">
      <c r="A30" s="37" t="s">
        <v>94</v>
      </c>
      <c r="B30" s="59"/>
      <c r="C30" s="71">
        <f>IF(Z7=2,macf(Z$8,7),"")</f>
        <v>44.253191</v>
      </c>
      <c r="D30" s="71">
        <f>IF(Z7&lt;3,"",macf(Z8,7))</f>
      </c>
      <c r="E30" s="39" t="s">
        <v>13</v>
      </c>
      <c r="F30" s="24" t="s">
        <v>133</v>
      </c>
      <c r="H30" s="37" t="s">
        <v>18</v>
      </c>
      <c r="I30" s="42">
        <f>B13/B15</f>
        <v>16.666666666666668</v>
      </c>
      <c r="J30" s="39" t="s">
        <v>19</v>
      </c>
      <c r="K30" s="40" t="s">
        <v>33</v>
      </c>
      <c r="L30" s="30"/>
      <c r="M30" s="30"/>
      <c r="N30" s="30"/>
      <c r="O30" s="30"/>
      <c r="P30" s="30"/>
      <c r="Q30" s="30"/>
      <c r="R30" s="30"/>
    </row>
    <row r="31" spans="8:24" ht="13.5">
      <c r="H31" s="37" t="s">
        <v>22</v>
      </c>
      <c r="I31" s="42">
        <f>VLOOKUP(B13,tabfck,2)</f>
        <v>2.6</v>
      </c>
      <c r="J31" s="39" t="s">
        <v>19</v>
      </c>
      <c r="K31" s="43" t="s">
        <v>53</v>
      </c>
      <c r="L31" s="30"/>
      <c r="M31" s="30"/>
      <c r="N31" s="30"/>
      <c r="O31" s="30"/>
      <c r="P31" s="30"/>
      <c r="Q31" s="30"/>
      <c r="R31" s="30"/>
      <c r="U31" s="22" t="s">
        <v>156</v>
      </c>
      <c r="V31" s="113">
        <f>(B12+B10-B11)/2*1000</f>
        <v>69.99999999999996</v>
      </c>
      <c r="W31" s="21" t="s">
        <v>29</v>
      </c>
      <c r="X31" s="36" t="s">
        <v>39</v>
      </c>
    </row>
    <row r="32" spans="1:18" ht="13.5">
      <c r="A32" s="20" t="s">
        <v>46</v>
      </c>
      <c r="B32" s="23"/>
      <c r="C32" s="23"/>
      <c r="D32" s="23"/>
      <c r="H32" s="37" t="s">
        <v>43</v>
      </c>
      <c r="I32" s="42">
        <f>0.7*I31/B15</f>
        <v>1.2133333333333332</v>
      </c>
      <c r="J32" s="39" t="s">
        <v>19</v>
      </c>
      <c r="K32" s="43" t="s">
        <v>53</v>
      </c>
      <c r="L32" s="30"/>
      <c r="M32" s="30"/>
      <c r="N32" s="30"/>
      <c r="O32" s="30"/>
      <c r="P32" s="30"/>
      <c r="Q32" s="30"/>
      <c r="R32" s="30"/>
    </row>
    <row r="33" spans="1:22" ht="15.75">
      <c r="A33" s="22" t="s">
        <v>74</v>
      </c>
      <c r="B33" s="38">
        <f>MAX(0.0013,0.26*I31/B14)*B9*B11*10000</f>
        <v>2.8662400000000003</v>
      </c>
      <c r="C33" s="39" t="s">
        <v>13</v>
      </c>
      <c r="D33" s="21" t="s">
        <v>41</v>
      </c>
      <c r="F33" s="46"/>
      <c r="H33" s="64" t="s">
        <v>161</v>
      </c>
      <c r="I33" s="65">
        <f>VLOOKUP(B$13,tabfck,3)</f>
        <v>31</v>
      </c>
      <c r="J33" s="21" t="s">
        <v>165</v>
      </c>
      <c r="K33" s="21" t="s">
        <v>180</v>
      </c>
      <c r="M33" s="30"/>
      <c r="N33" s="30"/>
      <c r="O33" s="30"/>
      <c r="P33" s="30"/>
      <c r="Q33" s="30"/>
      <c r="R33" s="30"/>
      <c r="V33" s="21" t="str">
        <f>"NE S'APPLIQUE PAS ICI CAR N &gt;= 0 ou TORSION NON NULLE"</f>
        <v>NE S'APPLIQUE PAS ICI CAR N &gt;= 0 ou TORSION NON NULLE</v>
      </c>
    </row>
    <row r="34" spans="1:11" ht="13.5">
      <c r="A34" s="22" t="s">
        <v>77</v>
      </c>
      <c r="B34" s="71" t="str">
        <f>IF(B61&gt;1,"NON",0.08*SQRT(B13)/B14*B9*10000)</f>
        <v>NON</v>
      </c>
      <c r="C34" s="39" t="s">
        <v>70</v>
      </c>
      <c r="D34" s="21" t="s">
        <v>40</v>
      </c>
      <c r="H34" s="37" t="s">
        <v>20</v>
      </c>
      <c r="I34" s="44">
        <f>B14/B16</f>
        <v>434.7826086956522</v>
      </c>
      <c r="J34" s="39" t="s">
        <v>19</v>
      </c>
      <c r="K34" s="40" t="s">
        <v>41</v>
      </c>
    </row>
    <row r="35" spans="6:11" ht="13.5">
      <c r="F35" s="102"/>
      <c r="G35" s="117"/>
      <c r="H35" s="18" t="s">
        <v>84</v>
      </c>
      <c r="I35" s="41">
        <f>VLOOKUP(B17,tabac,3)</f>
        <v>50</v>
      </c>
      <c r="J35" s="54" t="s">
        <v>85</v>
      </c>
      <c r="K35" s="21" t="s">
        <v>177</v>
      </c>
    </row>
    <row r="36" spans="1:12" ht="12">
      <c r="A36" s="20" t="s">
        <v>108</v>
      </c>
      <c r="H36" s="22" t="s">
        <v>44</v>
      </c>
      <c r="I36" s="41">
        <f>VLOOKUP(B17,tabac,2)</f>
        <v>1.08</v>
      </c>
      <c r="J36" s="24"/>
      <c r="K36" s="21" t="s">
        <v>178</v>
      </c>
      <c r="L36" s="30"/>
    </row>
    <row r="37" spans="1:12" ht="13.5">
      <c r="A37" s="37" t="s">
        <v>72</v>
      </c>
      <c r="B37" s="72">
        <f>B7/0.9/B11/fyd/B18*10000</f>
        <v>9.643605870020965</v>
      </c>
      <c r="C37" s="39" t="s">
        <v>70</v>
      </c>
      <c r="D37" s="21" t="s">
        <v>148</v>
      </c>
      <c r="H37" s="19" t="s">
        <v>10</v>
      </c>
      <c r="I37" s="41">
        <f>0.6*(1-B13/250)</f>
        <v>0.54</v>
      </c>
      <c r="J37" s="39"/>
      <c r="K37" s="30" t="s">
        <v>179</v>
      </c>
      <c r="L37" s="30"/>
    </row>
    <row r="38" spans="1:9" ht="13.5">
      <c r="A38" s="37" t="s">
        <v>113</v>
      </c>
      <c r="B38" s="45">
        <f>B40*I37*I30*B9*0.9*B11/(B18+1/B18)</f>
        <v>0</v>
      </c>
      <c r="C38" s="24" t="s">
        <v>15</v>
      </c>
      <c r="D38" s="21" t="s">
        <v>48</v>
      </c>
      <c r="H38" s="81" t="s">
        <v>214</v>
      </c>
      <c r="I38" s="41">
        <f>I46/I30</f>
        <v>-0.175</v>
      </c>
    </row>
    <row r="39" spans="1:20" ht="13.5">
      <c r="A39" s="37" t="s">
        <v>109</v>
      </c>
      <c r="B39" s="45" t="str">
        <f>IF(B38=0,"NON",B7/B38)</f>
        <v>NON</v>
      </c>
      <c r="C39" s="21" t="s">
        <v>112</v>
      </c>
      <c r="D39" s="21" t="str">
        <f>IF(B39&lt;1,"OK","KO")</f>
        <v>KO</v>
      </c>
      <c r="H39" s="37" t="s">
        <v>37</v>
      </c>
      <c r="I39" s="41">
        <f>2*(B9+B10)</f>
        <v>2</v>
      </c>
      <c r="J39" s="39" t="s">
        <v>17</v>
      </c>
      <c r="K39" s="39" t="s">
        <v>38</v>
      </c>
      <c r="L39" s="30"/>
      <c r="M39" s="62"/>
      <c r="T39" s="23"/>
    </row>
    <row r="40" spans="1:13" ht="13.5">
      <c r="A40" s="18" t="s">
        <v>111</v>
      </c>
      <c r="B40" s="116">
        <f>macf(Z8,12)</f>
        <v>0</v>
      </c>
      <c r="D40" s="46" t="str">
        <f>IF(N&lt;0,IF(B40=0,"VOIR PAGE 2 CI-DESSOUS",""),"")</f>
        <v>VOIR PAGE 2 CI-DESSOUS</v>
      </c>
      <c r="F40" s="102"/>
      <c r="H40" s="37" t="s">
        <v>36</v>
      </c>
      <c r="I40" s="41">
        <f>B9*B10</f>
        <v>0.24</v>
      </c>
      <c r="J40" s="39" t="s">
        <v>73</v>
      </c>
      <c r="K40" s="43" t="s">
        <v>47</v>
      </c>
      <c r="L40" s="30"/>
      <c r="M40" s="62"/>
    </row>
    <row r="41" spans="1:13" ht="13.5">
      <c r="A41" s="22" t="s">
        <v>68</v>
      </c>
      <c r="B41" s="47">
        <f>B18</f>
        <v>1</v>
      </c>
      <c r="D41" s="21" t="s">
        <v>140</v>
      </c>
      <c r="H41" s="37" t="s">
        <v>75</v>
      </c>
      <c r="I41" s="45">
        <f>MAX(I40/I39,2*V31/1000)</f>
        <v>0.1399999999999999</v>
      </c>
      <c r="J41" s="39" t="s">
        <v>17</v>
      </c>
      <c r="K41" s="21" t="s">
        <v>211</v>
      </c>
      <c r="M41" s="62"/>
    </row>
    <row r="42" spans="8:13" ht="13.5">
      <c r="H42" s="37" t="s">
        <v>76</v>
      </c>
      <c r="I42" s="41">
        <f>(B9-I41)*(B10-I41)</f>
        <v>0.11960000000000008</v>
      </c>
      <c r="J42" s="39" t="s">
        <v>73</v>
      </c>
      <c r="K42" s="21" t="s">
        <v>212</v>
      </c>
      <c r="M42" s="62"/>
    </row>
    <row r="43" spans="1:11" ht="13.5">
      <c r="A43" s="20" t="s">
        <v>114</v>
      </c>
      <c r="D43" s="23"/>
      <c r="H43" s="37" t="s">
        <v>78</v>
      </c>
      <c r="I43" s="41">
        <f>2*(B9-I41+B10-I41)</f>
        <v>1.4400000000000004</v>
      </c>
      <c r="J43" s="39" t="s">
        <v>17</v>
      </c>
      <c r="K43" s="21" t="s">
        <v>213</v>
      </c>
    </row>
    <row r="44" spans="1:22" ht="13.5">
      <c r="A44" s="37" t="s">
        <v>69</v>
      </c>
      <c r="B44" s="73">
        <f>MAX(0,(I43/fyd*B8*B18/2/I42-N/fyd)*10000/I43)</f>
        <v>11.180555555555552</v>
      </c>
      <c r="C44" s="39" t="s">
        <v>70</v>
      </c>
      <c r="D44" s="21" t="s">
        <v>41</v>
      </c>
      <c r="H44" s="81" t="s">
        <v>80</v>
      </c>
      <c r="I44" s="42">
        <f>B8/2/I42/I41</f>
        <v>0</v>
      </c>
      <c r="J44" s="24" t="s">
        <v>19</v>
      </c>
      <c r="K44" s="24" t="s">
        <v>50</v>
      </c>
      <c r="N44" s="63"/>
      <c r="O44" s="63"/>
      <c r="P44" s="63"/>
      <c r="Q44" s="63"/>
      <c r="R44" s="63"/>
      <c r="S44" s="23"/>
      <c r="U44" s="62"/>
      <c r="V44" s="62"/>
    </row>
    <row r="45" spans="1:19" ht="13.5">
      <c r="A45" s="37" t="s">
        <v>71</v>
      </c>
      <c r="B45" s="75" t="str">
        <f>IF(B61&gt;1,"NON",B44*I43)</f>
        <v>NON</v>
      </c>
      <c r="C45" s="39" t="s">
        <v>13</v>
      </c>
      <c r="D45" s="21" t="s">
        <v>135</v>
      </c>
      <c r="H45" s="82" t="s">
        <v>16</v>
      </c>
      <c r="I45" s="65">
        <f>0.9*B11</f>
        <v>0.47700000000000004</v>
      </c>
      <c r="J45" s="63" t="s">
        <v>17</v>
      </c>
      <c r="K45" s="63" t="s">
        <v>200</v>
      </c>
      <c r="S45" s="23"/>
    </row>
    <row r="46" spans="1:19" ht="13.5">
      <c r="A46" s="37" t="s">
        <v>72</v>
      </c>
      <c r="B46" s="75" t="str">
        <f>IF(B61&gt;1,"NON",B8/2/I42/B41/I34*10000)</f>
        <v>NON</v>
      </c>
      <c r="C46" s="39" t="s">
        <v>70</v>
      </c>
      <c r="D46" s="21" t="s">
        <v>40</v>
      </c>
      <c r="H46" s="81" t="s">
        <v>98</v>
      </c>
      <c r="I46" s="65">
        <f>B6/B9/B10</f>
        <v>-2.9166666666666665</v>
      </c>
      <c r="J46" s="63" t="s">
        <v>19</v>
      </c>
      <c r="K46" s="63" t="str">
        <f>IF(I46&gt;0,"compression","traction")</f>
        <v>traction</v>
      </c>
      <c r="L46" s="62"/>
      <c r="S46" s="23"/>
    </row>
    <row r="47" spans="1:24" ht="13.5">
      <c r="A47" s="37" t="s">
        <v>202</v>
      </c>
      <c r="B47" s="42">
        <f>IF(B8=0,0,(B19/10)^2*PI()/4*2)</f>
        <v>0</v>
      </c>
      <c r="C47" s="39" t="s">
        <v>70</v>
      </c>
      <c r="D47" s="21" t="s">
        <v>143</v>
      </c>
      <c r="E47" s="23"/>
      <c r="H47" s="81" t="s">
        <v>134</v>
      </c>
      <c r="I47" s="132">
        <f>IF(N&gt;=0,"",I46/I31)</f>
        <v>-1.1217948717948718</v>
      </c>
      <c r="J47" s="63"/>
      <c r="K47" s="63"/>
      <c r="L47" s="62"/>
      <c r="S47" s="23"/>
      <c r="W47" s="62"/>
      <c r="X47" s="62"/>
    </row>
    <row r="48" spans="1:24" ht="13.5">
      <c r="A48" s="22" t="s">
        <v>102</v>
      </c>
      <c r="B48" s="74">
        <f>IF(B46=0,"",IF(B46="NON","",MIN(I39*1000/8,B47/B46*1000)))</f>
      </c>
      <c r="C48" s="21" t="s">
        <v>144</v>
      </c>
      <c r="D48" s="21" t="s">
        <v>145</v>
      </c>
      <c r="H48" s="82" t="s">
        <v>99</v>
      </c>
      <c r="I48" s="133">
        <f>B7/B9/I45</f>
        <v>1.0482180293501047</v>
      </c>
      <c r="J48" s="63" t="s">
        <v>19</v>
      </c>
      <c r="K48" s="63" t="s">
        <v>201</v>
      </c>
      <c r="L48" s="62"/>
      <c r="S48" s="23"/>
      <c r="W48" s="62"/>
      <c r="X48" s="62"/>
    </row>
    <row r="49" spans="1:12" ht="13.5">
      <c r="A49" s="37" t="s">
        <v>79</v>
      </c>
      <c r="B49" s="41">
        <f>2*I37*B40*I30*I42*I41/(B18+1/B18)</f>
        <v>0</v>
      </c>
      <c r="C49" s="39" t="s">
        <v>31</v>
      </c>
      <c r="D49" s="21" t="s">
        <v>49</v>
      </c>
      <c r="L49" s="62"/>
    </row>
    <row r="50" spans="1:4" ht="13.5">
      <c r="A50" s="37" t="s">
        <v>215</v>
      </c>
      <c r="B50" s="93">
        <f>IF(B49=0,0,B8/B49)</f>
        <v>0</v>
      </c>
      <c r="C50" s="21" t="s">
        <v>112</v>
      </c>
      <c r="D50" s="21" t="str">
        <f>IF(B50&lt;1,"OK","KO")</f>
        <v>OK</v>
      </c>
    </row>
    <row r="51" ht="12">
      <c r="F51" s="98" t="s">
        <v>146</v>
      </c>
    </row>
    <row r="52" spans="1:6" ht="12">
      <c r="A52" s="20" t="s">
        <v>115</v>
      </c>
      <c r="F52" s="98" t="s">
        <v>147</v>
      </c>
    </row>
    <row r="53" spans="1:12" ht="13.5">
      <c r="A53" s="37" t="s">
        <v>72</v>
      </c>
      <c r="B53" s="73">
        <f>IF(B40=0,0,MAX(B37+B46,B34))</f>
        <v>0</v>
      </c>
      <c r="C53" s="39" t="s">
        <v>70</v>
      </c>
      <c r="L53" s="23" t="s">
        <v>154</v>
      </c>
    </row>
    <row r="54" spans="1:13" ht="13.5">
      <c r="A54" s="37" t="s">
        <v>97</v>
      </c>
      <c r="B54" s="42">
        <f>(B19/10)^2*PI()/4*B20</f>
        <v>5.654866776461628</v>
      </c>
      <c r="C54" s="39" t="s">
        <v>120</v>
      </c>
      <c r="F54" s="22"/>
      <c r="H54" s="24"/>
      <c r="K54" s="18" t="s">
        <v>149</v>
      </c>
      <c r="L54" s="99">
        <f>MAX(C29,C30,D29,D30)/B9/MAX(B75:B76)/10000</f>
        <v>0.020262450091575093</v>
      </c>
      <c r="M54" s="21" t="s">
        <v>207</v>
      </c>
    </row>
    <row r="55" spans="1:13" ht="12">
      <c r="A55" s="22" t="s">
        <v>102</v>
      </c>
      <c r="B55" s="74" t="str">
        <f>IF(B40=0,"NON",B54/B53*1000)</f>
        <v>NON</v>
      </c>
      <c r="C55" s="21" t="s">
        <v>122</v>
      </c>
      <c r="H55" s="24"/>
      <c r="K55" s="22" t="s">
        <v>44</v>
      </c>
      <c r="L55" s="45">
        <f>MIN(1+SQRT(0.2/MAX(B75,B76)),2)</f>
        <v>1.6052275326688026</v>
      </c>
      <c r="M55" s="21" t="s">
        <v>208</v>
      </c>
    </row>
    <row r="56" spans="1:13" ht="13.5">
      <c r="A56" s="37" t="s">
        <v>121</v>
      </c>
      <c r="B56" s="74">
        <f>0.75*B11*1000</f>
        <v>397.5</v>
      </c>
      <c r="C56" s="21" t="s">
        <v>123</v>
      </c>
      <c r="K56" s="22" t="s">
        <v>150</v>
      </c>
      <c r="L56" s="45">
        <f>0.18/gc*L55*(100*L54*B13)^(1/3)</f>
        <v>0.712735682212371</v>
      </c>
      <c r="M56" s="21" t="s">
        <v>19</v>
      </c>
    </row>
    <row r="57" spans="1:18" ht="13.5">
      <c r="A57" s="22" t="s">
        <v>102</v>
      </c>
      <c r="B57" s="106" t="str">
        <f>IF(B40=0,"NON",MIN(B55,B56,B48))</f>
        <v>NON</v>
      </c>
      <c r="C57" s="21" t="s">
        <v>124</v>
      </c>
      <c r="K57" s="22" t="s">
        <v>151</v>
      </c>
      <c r="L57" s="45">
        <f>IF(N57="poutre",0.053/gc*L55^1.5*SQRT(B13),0.34/gc*SQRT(B13))</f>
        <v>0.3593019010304413</v>
      </c>
      <c r="M57" s="21" t="s">
        <v>19</v>
      </c>
      <c r="N57" t="str">
        <f>IF(B9=1,IF(B10&lt;0.5,"dalle","poutre"),"poutre")</f>
        <v>poutre</v>
      </c>
      <c r="O57"/>
      <c r="P57"/>
      <c r="Q57"/>
      <c r="R57"/>
    </row>
    <row r="58" spans="10:13" ht="13.5">
      <c r="J58" s="62"/>
      <c r="K58" s="18" t="s">
        <v>152</v>
      </c>
      <c r="L58" s="45">
        <f>N/B9/B10</f>
        <v>-2.9166666666666665</v>
      </c>
      <c r="M58" s="21" t="s">
        <v>19</v>
      </c>
    </row>
    <row r="59" spans="1:13" ht="13.5">
      <c r="A59" s="20" t="s">
        <v>136</v>
      </c>
      <c r="D59" s="24"/>
      <c r="F59" s="22"/>
      <c r="J59" s="62"/>
      <c r="K59" s="22" t="s">
        <v>153</v>
      </c>
      <c r="L59" s="45">
        <f>MAX(L56,L57)+0.15*L58</f>
        <v>0.2752356822123711</v>
      </c>
      <c r="M59" s="21" t="s">
        <v>19</v>
      </c>
    </row>
    <row r="60" spans="1:13" ht="13.5">
      <c r="A60" s="19" t="s">
        <v>17</v>
      </c>
      <c r="B60" s="92">
        <f>IF(Z7=2,macf(Z8,9),"")</f>
        <v>0.28782484</v>
      </c>
      <c r="C60" s="24" t="str">
        <f>"&lt; "&amp;ROUND(Z5,3)&amp;" ?"</f>
        <v>&lt; 0,372 ?</v>
      </c>
      <c r="D60" s="21" t="str">
        <f>IF(Z7=2,IF(B60&gt;Z5,"KO","OK"),"")</f>
        <v>OK</v>
      </c>
      <c r="E60" s="21" t="s">
        <v>116</v>
      </c>
      <c r="K60" s="22" t="s">
        <v>155</v>
      </c>
      <c r="L60" s="100">
        <f>L59*B9*B75</f>
        <v>0.06011147299518184</v>
      </c>
      <c r="M60" s="21" t="s">
        <v>15</v>
      </c>
    </row>
    <row r="61" spans="1:6" ht="12.75">
      <c r="A61" s="37" t="s">
        <v>42</v>
      </c>
      <c r="B61" s="93" t="str">
        <f>IF(B40=0,"NON",B8/B49+B7/B38)</f>
        <v>NON</v>
      </c>
      <c r="C61" s="24" t="s">
        <v>112</v>
      </c>
      <c r="D61" s="21" t="str">
        <f>IF(B61&gt;1,"KO","OK")</f>
        <v>KO</v>
      </c>
      <c r="E61" s="21" t="s">
        <v>117</v>
      </c>
      <c r="F61"/>
    </row>
    <row r="62" ht="12"/>
    <row r="63" ht="12"/>
    <row r="64" spans="1:13" ht="12.75">
      <c r="A64" s="1" t="s">
        <v>224</v>
      </c>
      <c r="B64" s="24"/>
      <c r="K64" s="62"/>
      <c r="L64" s="62"/>
      <c r="M64" s="62"/>
    </row>
    <row r="65" spans="1:13" ht="13.5">
      <c r="A65" s="20" t="s">
        <v>225</v>
      </c>
      <c r="K65" s="62"/>
      <c r="L65" s="62"/>
      <c r="M65" s="62"/>
    </row>
    <row r="66" ht="12">
      <c r="A66" s="134">
        <f>IF(B8&gt;0,V33,IF(N&gt;0,V33,""))</f>
      </c>
    </row>
    <row r="67" spans="1:13" ht="12.75">
      <c r="A67" s="24" t="s">
        <v>195</v>
      </c>
      <c r="B67" s="23"/>
      <c r="K67" s="62"/>
      <c r="L67" s="62"/>
      <c r="M67" s="62"/>
    </row>
    <row r="68" spans="1:22" ht="13.5" thickBot="1">
      <c r="A68" s="23"/>
      <c r="B68" s="23" t="s">
        <v>167</v>
      </c>
      <c r="C68" s="62" t="s">
        <v>168</v>
      </c>
      <c r="K68" s="62"/>
      <c r="L68" s="62"/>
      <c r="M68" s="62"/>
      <c r="T68" s="115"/>
      <c r="V68"/>
    </row>
    <row r="69" spans="1:20" ht="14.25" thickTop="1">
      <c r="A69" s="22" t="s">
        <v>186</v>
      </c>
      <c r="B69" s="126">
        <v>10</v>
      </c>
      <c r="C69" s="127">
        <v>12</v>
      </c>
      <c r="D69" s="21" t="s">
        <v>29</v>
      </c>
      <c r="T69" s="18"/>
    </row>
    <row r="70" spans="1:21" ht="13.5" thickBot="1">
      <c r="A70" s="64" t="s">
        <v>169</v>
      </c>
      <c r="B70" s="128">
        <v>1</v>
      </c>
      <c r="C70" s="129">
        <v>2</v>
      </c>
      <c r="T70" s="22"/>
      <c r="U70"/>
    </row>
    <row r="71" spans="1:22" ht="14.25" thickBot="1" thickTop="1">
      <c r="A71" s="24" t="s">
        <v>171</v>
      </c>
      <c r="C71" s="62"/>
      <c r="T71"/>
      <c r="U71"/>
      <c r="V71"/>
    </row>
    <row r="72" spans="1:22" ht="13.5" thickTop="1">
      <c r="A72" s="22" t="s">
        <v>170</v>
      </c>
      <c r="B72" s="130">
        <v>6</v>
      </c>
      <c r="C72" s="63" t="s">
        <v>196</v>
      </c>
      <c r="T72"/>
      <c r="U72"/>
      <c r="V72"/>
    </row>
    <row r="73" spans="1:22" ht="14.25" thickBot="1">
      <c r="A73" s="22" t="s">
        <v>174</v>
      </c>
      <c r="B73" s="131">
        <v>30</v>
      </c>
      <c r="C73" s="21" t="s">
        <v>29</v>
      </c>
      <c r="D73" s="21" t="s">
        <v>198</v>
      </c>
      <c r="T73"/>
      <c r="U73"/>
      <c r="V73"/>
    </row>
    <row r="74" spans="2:8" ht="13.5" thickTop="1">
      <c r="B74" s="62"/>
      <c r="C74" s="62"/>
      <c r="D74" s="62"/>
      <c r="E74" s="62"/>
      <c r="G74" s="21"/>
      <c r="H74" s="21"/>
    </row>
    <row r="75" spans="1:8" ht="13.5">
      <c r="A75" s="22" t="s">
        <v>173</v>
      </c>
      <c r="B75" s="118">
        <f>B10-(B73+B19+0.5*C70*C69)/1000</f>
        <v>0.5459999999999999</v>
      </c>
      <c r="C75" s="24" t="s">
        <v>17</v>
      </c>
      <c r="D75" s="24" t="s">
        <v>182</v>
      </c>
      <c r="G75" s="21"/>
      <c r="H75" s="21"/>
    </row>
    <row r="76" spans="1:10" ht="13.5">
      <c r="A76" s="22" t="s">
        <v>95</v>
      </c>
      <c r="B76" s="119">
        <f>(B73+B19+0.5*B69*B70)/1000</f>
        <v>0.047</v>
      </c>
      <c r="C76" s="24" t="s">
        <v>17</v>
      </c>
      <c r="D76" s="68" t="s">
        <v>96</v>
      </c>
      <c r="G76" s="21"/>
      <c r="H76" s="21"/>
      <c r="J76"/>
    </row>
    <row r="77" spans="1:12" ht="13.5">
      <c r="A77" s="22" t="s">
        <v>172</v>
      </c>
      <c r="B77" s="41">
        <f>B10-B76</f>
        <v>0.5529999999999999</v>
      </c>
      <c r="C77" s="21" t="s">
        <v>17</v>
      </c>
      <c r="D77" s="24" t="s">
        <v>181</v>
      </c>
      <c r="G77" s="21"/>
      <c r="H77" s="21"/>
      <c r="I77"/>
      <c r="J77"/>
      <c r="K77"/>
      <c r="L77"/>
    </row>
    <row r="78" spans="1:12" ht="12.75">
      <c r="A78" s="22" t="s">
        <v>21</v>
      </c>
      <c r="B78" s="41">
        <f>(B75+B77)/2</f>
        <v>0.5494999999999999</v>
      </c>
      <c r="C78" s="21" t="s">
        <v>17</v>
      </c>
      <c r="D78" s="21" t="s">
        <v>175</v>
      </c>
      <c r="G78" s="21"/>
      <c r="H78" s="21"/>
      <c r="I78"/>
      <c r="J78"/>
      <c r="K78"/>
      <c r="L78"/>
    </row>
    <row r="79" spans="1:12" ht="12.75">
      <c r="A79" s="22" t="s">
        <v>16</v>
      </c>
      <c r="B79" s="45">
        <f>B75-B76</f>
        <v>0.49899999999999994</v>
      </c>
      <c r="C79" s="21" t="s">
        <v>17</v>
      </c>
      <c r="D79" s="40" t="s">
        <v>51</v>
      </c>
      <c r="G79" s="21"/>
      <c r="H79" s="21"/>
      <c r="I79"/>
      <c r="J79"/>
      <c r="K79"/>
      <c r="L79"/>
    </row>
    <row r="80" spans="1:12" ht="12.75">
      <c r="A80" s="22" t="s">
        <v>102</v>
      </c>
      <c r="B80" s="41">
        <f>INT(75*B78)*10</f>
        <v>410</v>
      </c>
      <c r="C80" s="21" t="s">
        <v>29</v>
      </c>
      <c r="D80" s="21" t="s">
        <v>176</v>
      </c>
      <c r="G80" s="21"/>
      <c r="H80" s="21"/>
      <c r="I80"/>
      <c r="J80"/>
      <c r="K80"/>
      <c r="L80"/>
    </row>
    <row r="81" spans="1:12" ht="13.5">
      <c r="A81" s="22" t="s">
        <v>197</v>
      </c>
      <c r="B81" s="41">
        <f>2*B19</f>
        <v>24</v>
      </c>
      <c r="C81" s="21" t="s">
        <v>29</v>
      </c>
      <c r="D81" s="21" t="s">
        <v>226</v>
      </c>
      <c r="G81" s="21"/>
      <c r="H81" s="21"/>
      <c r="I81"/>
      <c r="J81"/>
      <c r="K81"/>
      <c r="L81"/>
    </row>
    <row r="82" spans="1:12" ht="12.75">
      <c r="A82" s="22" t="s">
        <v>184</v>
      </c>
      <c r="B82" s="116">
        <f>B79/B80*1000</f>
        <v>1.217073170731707</v>
      </c>
      <c r="D82" s="21" t="s">
        <v>35</v>
      </c>
      <c r="G82" s="21"/>
      <c r="H82" s="21"/>
      <c r="I82"/>
      <c r="J82"/>
      <c r="K82"/>
      <c r="L82"/>
    </row>
    <row r="83" spans="1:12" ht="12.75">
      <c r="A83" s="22" t="s">
        <v>68</v>
      </c>
      <c r="B83" s="116">
        <f>1/B82</f>
        <v>0.8216432865731464</v>
      </c>
      <c r="G83" s="21"/>
      <c r="H83" s="21"/>
      <c r="I83"/>
      <c r="J83"/>
      <c r="K83"/>
      <c r="L83"/>
    </row>
    <row r="84" spans="1:12" ht="12.75">
      <c r="A84" s="18" t="s">
        <v>27</v>
      </c>
      <c r="B84" s="42">
        <f>AF2*180/PI()</f>
        <v>50.59199435157921</v>
      </c>
      <c r="C84" s="21" t="s">
        <v>28</v>
      </c>
      <c r="G84" s="21"/>
      <c r="H84" s="21"/>
      <c r="I84"/>
      <c r="K84"/>
      <c r="L84"/>
    </row>
    <row r="85" spans="1:8" ht="13.5">
      <c r="A85" s="22" t="s">
        <v>97</v>
      </c>
      <c r="B85" s="42">
        <f>B7/fyd*10000</f>
        <v>4.6000000000000005</v>
      </c>
      <c r="C85" s="21" t="s">
        <v>13</v>
      </c>
      <c r="D85" s="21" t="s">
        <v>203</v>
      </c>
      <c r="G85" s="21"/>
      <c r="H85" s="21"/>
    </row>
    <row r="86" spans="1:8" ht="14.25">
      <c r="A86" s="22" t="s">
        <v>183</v>
      </c>
      <c r="B86" s="42">
        <f>B85/B80*1000</f>
        <v>11.219512195121952</v>
      </c>
      <c r="C86" s="21" t="s">
        <v>70</v>
      </c>
      <c r="D86" s="21" t="s">
        <v>204</v>
      </c>
      <c r="G86" s="21"/>
      <c r="H86" s="21"/>
    </row>
    <row r="87" spans="1:8" ht="14.25">
      <c r="A87" s="22" t="s">
        <v>185</v>
      </c>
      <c r="B87" s="71">
        <f>B20*PI()/4*B19^2/100*B72</f>
        <v>33.929200658769766</v>
      </c>
      <c r="C87" s="21" t="s">
        <v>70</v>
      </c>
      <c r="D87" s="21" t="s">
        <v>205</v>
      </c>
      <c r="G87" s="21"/>
      <c r="H87" s="21"/>
    </row>
    <row r="88" spans="7:8" ht="12">
      <c r="G88" s="21"/>
      <c r="H88" s="21"/>
    </row>
    <row r="89" spans="1:8" ht="12">
      <c r="A89" s="20" t="s">
        <v>193</v>
      </c>
      <c r="G89" s="21"/>
      <c r="H89" s="21"/>
    </row>
    <row r="90" spans="1:8" ht="13.5">
      <c r="A90" s="120" t="s">
        <v>191</v>
      </c>
      <c r="B90" s="121">
        <f>B7/B9/0.5/B79/AF3</f>
        <v>2.5936986995732143</v>
      </c>
      <c r="C90" s="122" t="s">
        <v>206</v>
      </c>
      <c r="D90" s="123">
        <f>0.75*I37*I30</f>
        <v>6.750000000000001</v>
      </c>
      <c r="E90" s="124" t="str">
        <f>IF(B90&gt;D90,"KO","OK")</f>
        <v>OK</v>
      </c>
      <c r="G90" s="21"/>
      <c r="H90" s="21"/>
    </row>
    <row r="91" spans="7:8" ht="12">
      <c r="G91" s="21"/>
      <c r="H91" s="21"/>
    </row>
    <row r="92" spans="2:8" ht="12">
      <c r="B92" s="67" t="s">
        <v>167</v>
      </c>
      <c r="C92" s="67" t="s">
        <v>168</v>
      </c>
      <c r="G92" s="21"/>
      <c r="H92" s="21"/>
    </row>
    <row r="93" spans="1:6" ht="13.5">
      <c r="A93" s="120" t="s">
        <v>192</v>
      </c>
      <c r="B93" s="125">
        <f>B7/AF3/B9/AF6*1000</f>
        <v>4.63632492176401</v>
      </c>
      <c r="C93" s="125">
        <f>B7/AF3/B9/AG6*1000</f>
        <v>4.285477151752337</v>
      </c>
      <c r="D93" s="122" t="s">
        <v>206</v>
      </c>
      <c r="E93" s="123">
        <f>0.6*I37*I30</f>
        <v>5.4</v>
      </c>
      <c r="F93" s="124" t="str">
        <f>IF(MAX(B93,C93)&gt;E93,"KO","OK")</f>
        <v>OK</v>
      </c>
    </row>
  </sheetData>
  <sheetProtection password="DE57" sheet="1" objects="1" scenarios="1" selectLockedCells="1"/>
  <mergeCells count="1">
    <mergeCell ref="M1:N1"/>
  </mergeCells>
  <conditionalFormatting sqref="D39 F93 E90 D60:D61 D50">
    <cfRule type="cellIs" priority="1" dxfId="0" operator="equal" stopIfTrue="1">
      <formula>"KO"</formula>
    </cfRule>
  </conditionalFormatting>
  <conditionalFormatting sqref="B39 B61">
    <cfRule type="cellIs" priority="2" dxfId="0" operator="greaterThan" stopIfTrue="1">
      <formula>1</formula>
    </cfRule>
  </conditionalFormatting>
  <conditionalFormatting sqref="B87">
    <cfRule type="cellIs" priority="3" dxfId="0" operator="lessThan" stopIfTrue="1">
      <formula>$B$86</formula>
    </cfRule>
  </conditionalFormatting>
  <conditionalFormatting sqref="B57">
    <cfRule type="cellIs" priority="4" dxfId="0" operator="equal" stopIfTrue="1">
      <formula>"NON"</formula>
    </cfRule>
  </conditionalFormatting>
  <dataValidations count="6">
    <dataValidation type="whole" operator="lessThan" allowBlank="1" showInputMessage="1" showErrorMessage="1" sqref="B70:C70">
      <formula1>3</formula1>
    </dataValidation>
    <dataValidation type="list" allowBlank="1" showInputMessage="1" showErrorMessage="1" sqref="B17">
      <formula1>$U$6:$U$8</formula1>
    </dataValidation>
    <dataValidation type="list" allowBlank="1" showInputMessage="1" showErrorMessage="1" sqref="B13">
      <formula1>$U$16:$U$29</formula1>
    </dataValidation>
    <dataValidation type="whole" allowBlank="1" showInputMessage="1" showErrorMessage="1" sqref="B14">
      <formula1>400</formula1>
      <formula2>600</formula2>
    </dataValidation>
    <dataValidation type="decimal" allowBlank="1" showInputMessage="1" showErrorMessage="1" sqref="B18">
      <formula1>1</formula1>
      <formula2>2.5</formula2>
    </dataValidation>
    <dataValidation type="decimal" operator="greaterThanOrEqual" allowBlank="1" showInputMessage="1" showErrorMessage="1" sqref="B7:B8 B5">
      <formula1>0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5"/>
  <rowBreaks count="1" manualBreakCount="1">
    <brk id="62" max="255" man="1"/>
  </rowBreaks>
  <colBreaks count="1" manualBreakCount="1">
    <brk id="18" max="65535" man="1"/>
  </colBreaks>
  <drawing r:id="rId4"/>
  <legacyDrawing r:id="rId3"/>
  <oleObjects>
    <oleObject progId="Designer.Drawing.7" shapeId="9159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mactho1</cp:lastModifiedBy>
  <dcterms:created xsi:type="dcterms:W3CDTF">2011-02-05T13:49:29Z</dcterms:created>
  <dcterms:modified xsi:type="dcterms:W3CDTF">2013-01-24T08:50:39Z</dcterms:modified>
  <cp:category/>
  <cp:version/>
  <cp:contentType/>
  <cp:contentStatus/>
</cp:coreProperties>
</file>