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Coffrage" sheetId="1" r:id="rId1"/>
    <sheet name="Note de calcul" sheetId="2" r:id="rId2"/>
  </sheets>
  <definedNames>
    <definedName name="_xlnm.Print_Area" localSheetId="0">'Coffrage'!$A$1:$Q$91</definedName>
    <definedName name="_xlnm.Print_Area" localSheetId="1">'Note de calcul'!$A$1:$W$160</definedName>
  </definedNames>
  <calcPr fullCalcOnLoad="1"/>
</workbook>
</file>

<file path=xl/comments2.xml><?xml version="1.0" encoding="utf-8"?>
<comments xmlns="http://schemas.openxmlformats.org/spreadsheetml/2006/main">
  <authors>
    <author>battais</author>
  </authors>
  <commentList>
    <comment ref="L59" authorId="0">
      <text>
        <r>
          <rPr>
            <b/>
            <sz val="8"/>
            <rFont val="Tahoma"/>
            <family val="0"/>
          </rPr>
          <t xml:space="preserve">Vérification contrainte au sol
</t>
        </r>
        <r>
          <rPr>
            <sz val="8"/>
            <rFont val="Tahoma"/>
            <family val="0"/>
          </rPr>
          <t xml:space="preserve">
</t>
        </r>
      </text>
    </comment>
    <comment ref="L61" authorId="0">
      <text>
        <r>
          <rPr>
            <b/>
            <sz val="8"/>
            <rFont val="Tahoma"/>
            <family val="0"/>
          </rPr>
          <t>Vérification glissement</t>
        </r>
        <r>
          <rPr>
            <sz val="8"/>
            <rFont val="Tahoma"/>
            <family val="0"/>
          </rPr>
          <t xml:space="preserve">
</t>
        </r>
      </text>
    </comment>
    <comment ref="L72" authorId="0">
      <text>
        <r>
          <rPr>
            <b/>
            <sz val="8"/>
            <rFont val="Tahoma"/>
            <family val="0"/>
          </rPr>
          <t xml:space="preserve">Vérification contrainte au sol
</t>
        </r>
        <r>
          <rPr>
            <sz val="8"/>
            <rFont val="Tahoma"/>
            <family val="0"/>
          </rPr>
          <t xml:space="preserve">
</t>
        </r>
      </text>
    </comment>
    <comment ref="L74" authorId="0">
      <text>
        <r>
          <rPr>
            <b/>
            <sz val="8"/>
            <rFont val="Tahoma"/>
            <family val="0"/>
          </rPr>
          <t>Vérification glissement</t>
        </r>
        <r>
          <rPr>
            <sz val="8"/>
            <rFont val="Tahoma"/>
            <family val="0"/>
          </rPr>
          <t xml:space="preserve">
</t>
        </r>
      </text>
    </comment>
    <comment ref="L85" authorId="0">
      <text>
        <r>
          <rPr>
            <b/>
            <sz val="8"/>
            <rFont val="Tahoma"/>
            <family val="0"/>
          </rPr>
          <t xml:space="preserve">Vérification contrainte au sol
</t>
        </r>
        <r>
          <rPr>
            <sz val="8"/>
            <rFont val="Tahoma"/>
            <family val="0"/>
          </rPr>
          <t xml:space="preserve">
</t>
        </r>
      </text>
    </comment>
    <comment ref="L87" authorId="0">
      <text>
        <r>
          <rPr>
            <b/>
            <sz val="8"/>
            <rFont val="Tahoma"/>
            <family val="0"/>
          </rPr>
          <t>Vérification glissement</t>
        </r>
        <r>
          <rPr>
            <sz val="8"/>
            <rFont val="Tahoma"/>
            <family val="0"/>
          </rPr>
          <t xml:space="preserve">
</t>
        </r>
      </text>
    </comment>
    <comment ref="L98" authorId="0">
      <text>
        <r>
          <rPr>
            <b/>
            <sz val="8"/>
            <rFont val="Tahoma"/>
            <family val="0"/>
          </rPr>
          <t xml:space="preserve">Vérification contrainte au sol
</t>
        </r>
        <r>
          <rPr>
            <sz val="8"/>
            <rFont val="Tahoma"/>
            <family val="0"/>
          </rPr>
          <t xml:space="preserve">
</t>
        </r>
      </text>
    </comment>
    <comment ref="L100" authorId="0">
      <text>
        <r>
          <rPr>
            <b/>
            <sz val="8"/>
            <rFont val="Tahoma"/>
            <family val="0"/>
          </rPr>
          <t>Vérification glissement</t>
        </r>
        <r>
          <rPr>
            <sz val="8"/>
            <rFont val="Tahoma"/>
            <family val="0"/>
          </rPr>
          <t xml:space="preserve">
</t>
        </r>
      </text>
    </comment>
    <comment ref="L111" authorId="0">
      <text>
        <r>
          <rPr>
            <b/>
            <sz val="8"/>
            <rFont val="Tahoma"/>
            <family val="0"/>
          </rPr>
          <t xml:space="preserve">Vérification contrainte au sol
</t>
        </r>
        <r>
          <rPr>
            <sz val="8"/>
            <rFont val="Tahoma"/>
            <family val="0"/>
          </rPr>
          <t xml:space="preserve">
</t>
        </r>
      </text>
    </comment>
    <comment ref="L113" authorId="0">
      <text>
        <r>
          <rPr>
            <b/>
            <sz val="8"/>
            <rFont val="Tahoma"/>
            <family val="0"/>
          </rPr>
          <t>Vérification glissement</t>
        </r>
        <r>
          <rPr>
            <sz val="8"/>
            <rFont val="Tahoma"/>
            <family val="0"/>
          </rPr>
          <t xml:space="preserve">
</t>
        </r>
      </text>
    </comment>
    <comment ref="J42" authorId="0">
      <text>
        <r>
          <rPr>
            <b/>
            <sz val="8"/>
            <rFont val="Tahoma"/>
            <family val="0"/>
          </rPr>
          <t>hyp: le tranchant est proportionel au moment de torsion</t>
        </r>
        <r>
          <rPr>
            <sz val="8"/>
            <rFont val="Tahoma"/>
            <family val="0"/>
          </rPr>
          <t xml:space="preserve">
</t>
        </r>
      </text>
    </comment>
    <comment ref="L124" authorId="0">
      <text>
        <r>
          <rPr>
            <b/>
            <sz val="8"/>
            <rFont val="Tahoma"/>
            <family val="0"/>
          </rPr>
          <t xml:space="preserve">Vérification contrainte au sol
</t>
        </r>
        <r>
          <rPr>
            <sz val="8"/>
            <rFont val="Tahoma"/>
            <family val="0"/>
          </rPr>
          <t xml:space="preserve">
</t>
        </r>
      </text>
    </comment>
    <comment ref="L126" authorId="0">
      <text>
        <r>
          <rPr>
            <b/>
            <sz val="8"/>
            <rFont val="Tahoma"/>
            <family val="0"/>
          </rPr>
          <t>Vérification glissement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<sst xmlns="http://schemas.openxmlformats.org/spreadsheetml/2006/main" count="376" uniqueCount="121">
  <si>
    <t>m</t>
  </si>
  <si>
    <t xml:space="preserve">   m</t>
  </si>
  <si>
    <t>bars</t>
  </si>
  <si>
    <t>Hauteur</t>
  </si>
  <si>
    <t>A</t>
  </si>
  <si>
    <t>A-A</t>
  </si>
  <si>
    <t>longueur</t>
  </si>
  <si>
    <t>SEMELLES</t>
  </si>
  <si>
    <t>(X4)</t>
  </si>
  <si>
    <t>LONGRINES</t>
  </si>
  <si>
    <t>longrine</t>
  </si>
  <si>
    <t>e=25</t>
  </si>
  <si>
    <t>t</t>
  </si>
  <si>
    <t>Hauteur semelle mini</t>
  </si>
  <si>
    <t>cm</t>
  </si>
  <si>
    <t>cm²</t>
  </si>
  <si>
    <t>Dimension coté semelle mini</t>
  </si>
  <si>
    <t>ARMATURES SEMELLES</t>
  </si>
  <si>
    <t>°</t>
  </si>
  <si>
    <r>
      <t>t/m</t>
    </r>
    <r>
      <rPr>
        <vertAlign val="superscript"/>
        <sz val="10"/>
        <rFont val="Arial"/>
        <family val="2"/>
      </rPr>
      <t>3</t>
    </r>
  </si>
  <si>
    <t>t/ml</t>
  </si>
  <si>
    <t>ml</t>
  </si>
  <si>
    <t>A semelle</t>
  </si>
  <si>
    <t>Ce qui n'est pas repris par les longrines en butée est repris par stabilté des puits :</t>
  </si>
  <si>
    <t>L =</t>
  </si>
  <si>
    <t>Réaction maxi R</t>
  </si>
  <si>
    <t xml:space="preserve">  a</t>
  </si>
  <si>
    <r>
      <t xml:space="preserve">          s</t>
    </r>
    <r>
      <rPr>
        <sz val="10"/>
        <rFont val="Arial"/>
        <family val="2"/>
      </rPr>
      <t>sol</t>
    </r>
    <r>
      <rPr>
        <sz val="10"/>
        <rFont val="Symbol"/>
        <family val="1"/>
      </rPr>
      <t xml:space="preserve"> &lt; s</t>
    </r>
    <r>
      <rPr>
        <sz val="10"/>
        <rFont val="Arial"/>
        <family val="2"/>
      </rPr>
      <t>sol adm</t>
    </r>
  </si>
  <si>
    <t>Effort tranchant V</t>
  </si>
  <si>
    <t>GRUE :</t>
  </si>
  <si>
    <t>COFFRAGE</t>
  </si>
  <si>
    <t>Détail de pose du chassis sur béton:</t>
  </si>
  <si>
    <t>NOTA:</t>
  </si>
  <si>
    <t>ARMATURES</t>
  </si>
  <si>
    <t>Butée reprise par longrines B</t>
  </si>
  <si>
    <t>Dimension coté semelle (b)</t>
  </si>
  <si>
    <t>Hors service</t>
  </si>
  <si>
    <t>LA MISE EN ŒUVRE DES FIXATIONS DE PIED</t>
  </si>
  <si>
    <t>DE GRUE DOIT SE FAIRE EN STRICTE CONFORMITE</t>
  </si>
  <si>
    <t>AVEC LES PRESCRIPTIONS DU CONSTRUCTEUR</t>
  </si>
  <si>
    <t>17 HA 10</t>
  </si>
  <si>
    <t>T</t>
  </si>
  <si>
    <t>Vérification au glissement</t>
  </si>
  <si>
    <r>
      <t>Moment de torsion repris en butée  Tb = fb x (V/T/lo + ( nb x (L+B)</t>
    </r>
    <r>
      <rPr>
        <sz val="10"/>
        <rFont val="Arial"/>
        <family val="2"/>
      </rPr>
      <t>^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)^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)</t>
    </r>
    <r>
      <rPr>
        <sz val="10"/>
        <rFont val="Arial"/>
        <family val="2"/>
      </rPr>
      <t>^</t>
    </r>
    <r>
      <rPr>
        <vertAlign val="superscript"/>
        <sz val="10"/>
        <rFont val="Arial"/>
        <family val="2"/>
      </rPr>
      <t>-1</t>
    </r>
  </si>
  <si>
    <t>Tranchant repris en butée  Vb = Tb x V / T =</t>
  </si>
  <si>
    <t>Htot =</t>
  </si>
  <si>
    <t>V - B</t>
  </si>
  <si>
    <t>Cas1 HS</t>
  </si>
  <si>
    <t>Tm</t>
  </si>
  <si>
    <t>Cas2 HS</t>
  </si>
  <si>
    <t>Cas3 HS</t>
  </si>
  <si>
    <r>
      <t>Nixtg</t>
    </r>
    <r>
      <rPr>
        <sz val="10"/>
        <rFont val="Symbol"/>
        <family val="1"/>
      </rPr>
      <t>j</t>
    </r>
    <r>
      <rPr>
        <sz val="10"/>
        <rFont val="Arial"/>
        <family val="0"/>
      </rPr>
      <t>/1.5 =</t>
    </r>
  </si>
  <si>
    <t xml:space="preserve">Tx (T) </t>
  </si>
  <si>
    <t xml:space="preserve">N1 (T) </t>
  </si>
  <si>
    <t xml:space="preserve">N3 (T) </t>
  </si>
  <si>
    <t>N2 (T)</t>
  </si>
  <si>
    <t>N4 (T)</t>
  </si>
  <si>
    <t>Tx (T)</t>
  </si>
  <si>
    <t>Cas 1</t>
  </si>
  <si>
    <t>Cas 2</t>
  </si>
  <si>
    <t>Cas 3</t>
  </si>
  <si>
    <t>Cas 4</t>
  </si>
  <si>
    <t>Cas 5</t>
  </si>
  <si>
    <t>Valeurs en service</t>
  </si>
  <si>
    <t>Valeurs hors service</t>
  </si>
  <si>
    <t>Ni</t>
  </si>
  <si>
    <t>Txi ou Tyi</t>
  </si>
  <si>
    <t>e</t>
  </si>
  <si>
    <t>Note de Calcul: Hypothèses</t>
  </si>
  <si>
    <t>Note de Calcul: Vérification en service</t>
  </si>
  <si>
    <t>lo = Longueur de longrine offerte à la butée dans une direction</t>
  </si>
  <si>
    <t>nb = Nombre de longrine reprenant la torsion en butée</t>
  </si>
  <si>
    <t>Moment de torsion en service ( T ) =</t>
  </si>
  <si>
    <r>
      <t>s</t>
    </r>
    <r>
      <rPr>
        <sz val="10"/>
        <rFont val="Arial"/>
        <family val="2"/>
      </rPr>
      <t>sol els =</t>
    </r>
  </si>
  <si>
    <t>j =</t>
  </si>
  <si>
    <t>g =</t>
  </si>
  <si>
    <t>lo =</t>
  </si>
  <si>
    <t>nb =</t>
  </si>
  <si>
    <t>Kp =</t>
  </si>
  <si>
    <t>Moment de torsion</t>
  </si>
  <si>
    <t>Moment tosion résiduel</t>
  </si>
  <si>
    <t>Tranchant résiduel Tx</t>
  </si>
  <si>
    <t>Tranchant résiduel Ty</t>
  </si>
  <si>
    <t>Hix</t>
  </si>
  <si>
    <t>Hiy</t>
  </si>
  <si>
    <t>D =</t>
  </si>
  <si>
    <t>m maxi</t>
  </si>
  <si>
    <t>Hi = racine(Hix² + Hiy²)</t>
  </si>
  <si>
    <t>exi = Mai / Ni x Hix / Hi =</t>
  </si>
  <si>
    <t>Semelle</t>
  </si>
  <si>
    <t>S1</t>
  </si>
  <si>
    <t>S2</t>
  </si>
  <si>
    <t>S3</t>
  </si>
  <si>
    <t>S4</t>
  </si>
  <si>
    <t>eyi = Mai / Ni x Hiy / Hi =</t>
  </si>
  <si>
    <t>axi =b - 2 x exi</t>
  </si>
  <si>
    <t>ayi =b - 2 x eyi</t>
  </si>
  <si>
    <t>ssol = Ni / (axi x ayi )</t>
  </si>
  <si>
    <t>Vérification poinçonnement</t>
  </si>
  <si>
    <r>
      <t>Ni x tg</t>
    </r>
    <r>
      <rPr>
        <sz val="10"/>
        <rFont val="Symbol"/>
        <family val="1"/>
      </rPr>
      <t xml:space="preserve">j </t>
    </r>
    <r>
      <rPr>
        <sz val="10"/>
        <rFont val="Arial"/>
        <family val="0"/>
      </rPr>
      <t>/ 1.5 =</t>
    </r>
  </si>
  <si>
    <t>Moment agissant Mai = Hi x D =</t>
  </si>
  <si>
    <t>Butée admissible par ml de longrine (fb) =</t>
  </si>
  <si>
    <t>Tranchant = racine(Tx² + Ty²)</t>
  </si>
  <si>
    <t>T    Ma =Hi x D =</t>
  </si>
  <si>
    <t>m      Mr =Nxe =</t>
  </si>
  <si>
    <t>m    e= b/2 - a/2 =</t>
  </si>
  <si>
    <r>
      <t>H2 =HtotxN2/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Ni </t>
    </r>
    <r>
      <rPr>
        <sz val="10"/>
        <rFont val="Arial"/>
        <family val="2"/>
      </rPr>
      <t>=</t>
    </r>
  </si>
  <si>
    <r>
      <t>H1 =HtotxN1/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Ni </t>
    </r>
    <r>
      <rPr>
        <sz val="10"/>
        <rFont val="Arial"/>
        <family val="2"/>
      </rPr>
      <t>=</t>
    </r>
  </si>
  <si>
    <r>
      <t>H3 =HtotxN3/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Ni </t>
    </r>
    <r>
      <rPr>
        <sz val="10"/>
        <rFont val="Arial"/>
        <family val="2"/>
      </rPr>
      <t>=</t>
    </r>
  </si>
  <si>
    <r>
      <t>H4 =HtotxN4/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Ni </t>
    </r>
    <r>
      <rPr>
        <sz val="10"/>
        <rFont val="Arial"/>
        <family val="2"/>
      </rPr>
      <t>=</t>
    </r>
  </si>
  <si>
    <r>
      <t>Tm  a=N/(1.33*</t>
    </r>
    <r>
      <rPr>
        <sz val="10"/>
        <rFont val="Symbol"/>
        <family val="1"/>
      </rPr>
      <t>s</t>
    </r>
    <r>
      <rPr>
        <sz val="10"/>
        <rFont val="Arial"/>
        <family val="0"/>
      </rPr>
      <t>sol els)/b</t>
    </r>
  </si>
  <si>
    <t>Cas 6</t>
  </si>
  <si>
    <t>Note de Calcul: Vérification hors service</t>
  </si>
  <si>
    <t>PF</t>
  </si>
  <si>
    <t>Grue GT118 chassi 3.80m x 3.80m HSC 30.70m flèche36.00m</t>
  </si>
  <si>
    <t>Puits en gros béton</t>
  </si>
  <si>
    <t>T/m²</t>
  </si>
  <si>
    <t>7 HA 12</t>
  </si>
  <si>
    <t>2x2x3 HA 12</t>
  </si>
  <si>
    <t>2x3 HA 14</t>
  </si>
  <si>
    <t>Longrines coulées pleine fouille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</si>
</sst>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"/>
  </numFmts>
  <fonts count="17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2" fontId="0" fillId="3" borderId="0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2" fontId="0" fillId="3" borderId="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1" fontId="0" fillId="2" borderId="0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2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7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9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0" fillId="3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right"/>
    </xf>
    <xf numFmtId="2" fontId="2" fillId="2" borderId="6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20" xfId="0" applyBorder="1" applyAlignment="1">
      <alignment horizontal="right"/>
    </xf>
    <xf numFmtId="0" fontId="2" fillId="0" borderId="18" xfId="0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20" xfId="0" applyFont="1" applyBorder="1" applyAlignment="1">
      <alignment horizontal="right"/>
    </xf>
    <xf numFmtId="0" fontId="0" fillId="0" borderId="21" xfId="0" applyBorder="1" applyAlignment="1">
      <alignment horizontal="right"/>
    </xf>
    <xf numFmtId="164" fontId="0" fillId="0" borderId="14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right"/>
    </xf>
    <xf numFmtId="16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5" xfId="0" applyFont="1" applyBorder="1" applyAlignment="1">
      <alignment horizontal="center"/>
    </xf>
    <xf numFmtId="2" fontId="0" fillId="0" borderId="6" xfId="0" applyNumberFormat="1" applyFill="1" applyBorder="1" applyAlignment="1">
      <alignment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0" fillId="4" borderId="21" xfId="0" applyFill="1" applyBorder="1" applyAlignment="1">
      <alignment/>
    </xf>
    <xf numFmtId="0" fontId="0" fillId="4" borderId="28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1" fontId="0" fillId="3" borderId="0" xfId="0" applyNumberFormat="1" applyFill="1" applyBorder="1" applyAlignment="1">
      <alignment/>
    </xf>
    <xf numFmtId="1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38" xfId="0" applyFont="1" applyBorder="1" applyAlignment="1">
      <alignment horizontal="center" vertical="center" textRotation="90"/>
    </xf>
    <xf numFmtId="0" fontId="15" fillId="0" borderId="39" xfId="0" applyFont="1" applyBorder="1" applyAlignment="1">
      <alignment horizontal="center" vertical="center" textRotation="9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46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2" borderId="0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5</xdr:row>
      <xdr:rowOff>66675</xdr:rowOff>
    </xdr:from>
    <xdr:to>
      <xdr:col>8</xdr:col>
      <xdr:colOff>76200</xdr:colOff>
      <xdr:row>27</xdr:row>
      <xdr:rowOff>19050</xdr:rowOff>
    </xdr:to>
    <xdr:grpSp>
      <xdr:nvGrpSpPr>
        <xdr:cNvPr id="1" name="Group 16"/>
        <xdr:cNvGrpSpPr>
          <a:grpSpLocks/>
        </xdr:cNvGrpSpPr>
      </xdr:nvGrpSpPr>
      <xdr:grpSpPr>
        <a:xfrm>
          <a:off x="1504950" y="981075"/>
          <a:ext cx="4419600" cy="3629025"/>
          <a:chOff x="127" y="58"/>
          <a:chExt cx="441" cy="369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127" y="58"/>
            <a:ext cx="96" cy="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>
            <a:off x="224" y="90"/>
            <a:ext cx="2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>
            <a:off x="223" y="116"/>
            <a:ext cx="2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>
            <a:off x="223" y="369"/>
            <a:ext cx="2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223" y="395"/>
            <a:ext cx="2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127" y="331"/>
            <a:ext cx="96" cy="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>
            <a:off x="472" y="58"/>
            <a:ext cx="96" cy="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1"/>
          <xdr:cNvSpPr>
            <a:spLocks/>
          </xdr:cNvSpPr>
        </xdr:nvSpPr>
        <xdr:spPr>
          <a:xfrm>
            <a:off x="472" y="331"/>
            <a:ext cx="96" cy="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>
            <a:off x="163" y="155"/>
            <a:ext cx="0" cy="1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>
            <a:off x="189" y="154"/>
            <a:ext cx="0" cy="1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4"/>
          <xdr:cNvSpPr>
            <a:spLocks/>
          </xdr:cNvSpPr>
        </xdr:nvSpPr>
        <xdr:spPr>
          <a:xfrm>
            <a:off x="507" y="155"/>
            <a:ext cx="0" cy="1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533" y="154"/>
            <a:ext cx="0" cy="1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161925</xdr:colOff>
      <xdr:row>29</xdr:row>
      <xdr:rowOff>47625</xdr:rowOff>
    </xdr:from>
    <xdr:to>
      <xdr:col>7</xdr:col>
      <xdr:colOff>714375</xdr:colOff>
      <xdr:row>29</xdr:row>
      <xdr:rowOff>47625</xdr:rowOff>
    </xdr:to>
    <xdr:sp>
      <xdr:nvSpPr>
        <xdr:cNvPr id="14" name="Line 17"/>
        <xdr:cNvSpPr>
          <a:spLocks/>
        </xdr:cNvSpPr>
      </xdr:nvSpPr>
      <xdr:spPr>
        <a:xfrm>
          <a:off x="1981200" y="4962525"/>
          <a:ext cx="3419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123825</xdr:rowOff>
    </xdr:from>
    <xdr:to>
      <xdr:col>2</xdr:col>
      <xdr:colOff>95250</xdr:colOff>
      <xdr:row>24</xdr:row>
      <xdr:rowOff>66675</xdr:rowOff>
    </xdr:to>
    <xdr:sp>
      <xdr:nvSpPr>
        <xdr:cNvPr id="15" name="Line 18"/>
        <xdr:cNvSpPr>
          <a:spLocks/>
        </xdr:cNvSpPr>
      </xdr:nvSpPr>
      <xdr:spPr>
        <a:xfrm>
          <a:off x="1152525" y="1362075"/>
          <a:ext cx="0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4</xdr:row>
      <xdr:rowOff>76200</xdr:rowOff>
    </xdr:from>
    <xdr:to>
      <xdr:col>8</xdr:col>
      <xdr:colOff>76200</xdr:colOff>
      <xdr:row>4</xdr:row>
      <xdr:rowOff>76200</xdr:rowOff>
    </xdr:to>
    <xdr:sp>
      <xdr:nvSpPr>
        <xdr:cNvPr id="16" name="Line 20"/>
        <xdr:cNvSpPr>
          <a:spLocks/>
        </xdr:cNvSpPr>
      </xdr:nvSpPr>
      <xdr:spPr>
        <a:xfrm>
          <a:off x="4981575" y="8001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5</xdr:row>
      <xdr:rowOff>85725</xdr:rowOff>
    </xdr:from>
    <xdr:to>
      <xdr:col>8</xdr:col>
      <xdr:colOff>180975</xdr:colOff>
      <xdr:row>11</xdr:row>
      <xdr:rowOff>38100</xdr:rowOff>
    </xdr:to>
    <xdr:sp>
      <xdr:nvSpPr>
        <xdr:cNvPr id="17" name="Line 21"/>
        <xdr:cNvSpPr>
          <a:spLocks/>
        </xdr:cNvSpPr>
      </xdr:nvSpPr>
      <xdr:spPr>
        <a:xfrm>
          <a:off x="6029325" y="100012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10</xdr:row>
      <xdr:rowOff>38100</xdr:rowOff>
    </xdr:from>
    <xdr:to>
      <xdr:col>9</xdr:col>
      <xdr:colOff>104775</xdr:colOff>
      <xdr:row>13</xdr:row>
      <xdr:rowOff>104775</xdr:rowOff>
    </xdr:to>
    <xdr:sp>
      <xdr:nvSpPr>
        <xdr:cNvPr id="18" name="Line 23"/>
        <xdr:cNvSpPr>
          <a:spLocks/>
        </xdr:cNvSpPr>
      </xdr:nvSpPr>
      <xdr:spPr>
        <a:xfrm flipH="1" flipV="1">
          <a:off x="5438775" y="1762125"/>
          <a:ext cx="971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9</xdr:row>
      <xdr:rowOff>47625</xdr:rowOff>
    </xdr:from>
    <xdr:to>
      <xdr:col>7</xdr:col>
      <xdr:colOff>847725</xdr:colOff>
      <xdr:row>10</xdr:row>
      <xdr:rowOff>76200</xdr:rowOff>
    </xdr:to>
    <xdr:sp>
      <xdr:nvSpPr>
        <xdr:cNvPr id="19" name="Oval 24"/>
        <xdr:cNvSpPr>
          <a:spLocks/>
        </xdr:cNvSpPr>
      </xdr:nvSpPr>
      <xdr:spPr>
        <a:xfrm>
          <a:off x="5324475" y="160972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7</xdr:row>
      <xdr:rowOff>47625</xdr:rowOff>
    </xdr:from>
    <xdr:to>
      <xdr:col>5</xdr:col>
      <xdr:colOff>76200</xdr:colOff>
      <xdr:row>8</xdr:row>
      <xdr:rowOff>133350</xdr:rowOff>
    </xdr:to>
    <xdr:sp>
      <xdr:nvSpPr>
        <xdr:cNvPr id="20" name="Line 25"/>
        <xdr:cNvSpPr>
          <a:spLocks/>
        </xdr:cNvSpPr>
      </xdr:nvSpPr>
      <xdr:spPr>
        <a:xfrm>
          <a:off x="3419475" y="1285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8</xdr:row>
      <xdr:rowOff>133350</xdr:rowOff>
    </xdr:from>
    <xdr:to>
      <xdr:col>5</xdr:col>
      <xdr:colOff>76200</xdr:colOff>
      <xdr:row>10</xdr:row>
      <xdr:rowOff>76200</xdr:rowOff>
    </xdr:to>
    <xdr:sp>
      <xdr:nvSpPr>
        <xdr:cNvPr id="21" name="Line 26"/>
        <xdr:cNvSpPr>
          <a:spLocks/>
        </xdr:cNvSpPr>
      </xdr:nvSpPr>
      <xdr:spPr>
        <a:xfrm>
          <a:off x="3419475" y="15335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7</xdr:row>
      <xdr:rowOff>114300</xdr:rowOff>
    </xdr:from>
    <xdr:to>
      <xdr:col>4</xdr:col>
      <xdr:colOff>447675</xdr:colOff>
      <xdr:row>8</xdr:row>
      <xdr:rowOff>66675</xdr:rowOff>
    </xdr:to>
    <xdr:sp>
      <xdr:nvSpPr>
        <xdr:cNvPr id="22" name="Oval 27"/>
        <xdr:cNvSpPr>
          <a:spLocks/>
        </xdr:cNvSpPr>
      </xdr:nvSpPr>
      <xdr:spPr>
        <a:xfrm>
          <a:off x="2905125" y="1352550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4</xdr:row>
      <xdr:rowOff>180975</xdr:rowOff>
    </xdr:from>
    <xdr:to>
      <xdr:col>5</xdr:col>
      <xdr:colOff>180975</xdr:colOff>
      <xdr:row>7</xdr:row>
      <xdr:rowOff>114300</xdr:rowOff>
    </xdr:to>
    <xdr:sp>
      <xdr:nvSpPr>
        <xdr:cNvPr id="23" name="Line 28"/>
        <xdr:cNvSpPr>
          <a:spLocks/>
        </xdr:cNvSpPr>
      </xdr:nvSpPr>
      <xdr:spPr>
        <a:xfrm flipV="1">
          <a:off x="2971800" y="904875"/>
          <a:ext cx="5524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23</xdr:row>
      <xdr:rowOff>142875</xdr:rowOff>
    </xdr:from>
    <xdr:to>
      <xdr:col>1</xdr:col>
      <xdr:colOff>542925</xdr:colOff>
      <xdr:row>23</xdr:row>
      <xdr:rowOff>142875</xdr:rowOff>
    </xdr:to>
    <xdr:sp>
      <xdr:nvSpPr>
        <xdr:cNvPr id="24" name="Line 29"/>
        <xdr:cNvSpPr>
          <a:spLocks/>
        </xdr:cNvSpPr>
      </xdr:nvSpPr>
      <xdr:spPr>
        <a:xfrm>
          <a:off x="552450" y="4086225"/>
          <a:ext cx="2857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22</xdr:row>
      <xdr:rowOff>114300</xdr:rowOff>
    </xdr:from>
    <xdr:to>
      <xdr:col>1</xdr:col>
      <xdr:colOff>257175</xdr:colOff>
      <xdr:row>23</xdr:row>
      <xdr:rowOff>152400</xdr:rowOff>
    </xdr:to>
    <xdr:sp>
      <xdr:nvSpPr>
        <xdr:cNvPr id="25" name="Line 30"/>
        <xdr:cNvSpPr>
          <a:spLocks/>
        </xdr:cNvSpPr>
      </xdr:nvSpPr>
      <xdr:spPr>
        <a:xfrm flipV="1">
          <a:off x="552450" y="3895725"/>
          <a:ext cx="0" cy="2000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24</xdr:row>
      <xdr:rowOff>9525</xdr:rowOff>
    </xdr:from>
    <xdr:to>
      <xdr:col>8</xdr:col>
      <xdr:colOff>457200</xdr:colOff>
      <xdr:row>24</xdr:row>
      <xdr:rowOff>9525</xdr:rowOff>
    </xdr:to>
    <xdr:sp>
      <xdr:nvSpPr>
        <xdr:cNvPr id="26" name="Line 31"/>
        <xdr:cNvSpPr>
          <a:spLocks/>
        </xdr:cNvSpPr>
      </xdr:nvSpPr>
      <xdr:spPr>
        <a:xfrm>
          <a:off x="6200775" y="4114800"/>
          <a:ext cx="1047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22</xdr:row>
      <xdr:rowOff>142875</xdr:rowOff>
    </xdr:from>
    <xdr:to>
      <xdr:col>8</xdr:col>
      <xdr:colOff>457200</xdr:colOff>
      <xdr:row>24</xdr:row>
      <xdr:rowOff>19050</xdr:rowOff>
    </xdr:to>
    <xdr:sp>
      <xdr:nvSpPr>
        <xdr:cNvPr id="27" name="Line 32"/>
        <xdr:cNvSpPr>
          <a:spLocks/>
        </xdr:cNvSpPr>
      </xdr:nvSpPr>
      <xdr:spPr>
        <a:xfrm flipV="1">
          <a:off x="6305550" y="3924300"/>
          <a:ext cx="0" cy="2000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36</xdr:row>
      <xdr:rowOff>28575</xdr:rowOff>
    </xdr:from>
    <xdr:to>
      <xdr:col>3</xdr:col>
      <xdr:colOff>600075</xdr:colOff>
      <xdr:row>38</xdr:row>
      <xdr:rowOff>28575</xdr:rowOff>
    </xdr:to>
    <xdr:sp>
      <xdr:nvSpPr>
        <xdr:cNvPr id="28" name="Rectangle 33"/>
        <xdr:cNvSpPr>
          <a:spLocks/>
        </xdr:cNvSpPr>
      </xdr:nvSpPr>
      <xdr:spPr>
        <a:xfrm>
          <a:off x="1504950" y="6076950"/>
          <a:ext cx="914400" cy="752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36</xdr:row>
      <xdr:rowOff>28575</xdr:rowOff>
    </xdr:from>
    <xdr:to>
      <xdr:col>8</xdr:col>
      <xdr:colOff>76200</xdr:colOff>
      <xdr:row>38</xdr:row>
      <xdr:rowOff>28575</xdr:rowOff>
    </xdr:to>
    <xdr:sp>
      <xdr:nvSpPr>
        <xdr:cNvPr id="29" name="Rectangle 34"/>
        <xdr:cNvSpPr>
          <a:spLocks/>
        </xdr:cNvSpPr>
      </xdr:nvSpPr>
      <xdr:spPr>
        <a:xfrm>
          <a:off x="4686300" y="6076950"/>
          <a:ext cx="1238250" cy="752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36</xdr:row>
      <xdr:rowOff>28575</xdr:rowOff>
    </xdr:from>
    <xdr:to>
      <xdr:col>6</xdr:col>
      <xdr:colOff>581025</xdr:colOff>
      <xdr:row>36</xdr:row>
      <xdr:rowOff>28575</xdr:rowOff>
    </xdr:to>
    <xdr:sp>
      <xdr:nvSpPr>
        <xdr:cNvPr id="30" name="Line 35"/>
        <xdr:cNvSpPr>
          <a:spLocks/>
        </xdr:cNvSpPr>
      </xdr:nvSpPr>
      <xdr:spPr>
        <a:xfrm>
          <a:off x="2419350" y="6076950"/>
          <a:ext cx="22669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38</xdr:row>
      <xdr:rowOff>28575</xdr:rowOff>
    </xdr:from>
    <xdr:to>
      <xdr:col>6</xdr:col>
      <xdr:colOff>581025</xdr:colOff>
      <xdr:row>38</xdr:row>
      <xdr:rowOff>28575</xdr:rowOff>
    </xdr:to>
    <xdr:sp>
      <xdr:nvSpPr>
        <xdr:cNvPr id="31" name="Line 36"/>
        <xdr:cNvSpPr>
          <a:spLocks/>
        </xdr:cNvSpPr>
      </xdr:nvSpPr>
      <xdr:spPr>
        <a:xfrm>
          <a:off x="2419350" y="6829425"/>
          <a:ext cx="22669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28575</xdr:rowOff>
    </xdr:from>
    <xdr:to>
      <xdr:col>3</xdr:col>
      <xdr:colOff>657225</xdr:colOff>
      <xdr:row>44</xdr:row>
      <xdr:rowOff>85725</xdr:rowOff>
    </xdr:to>
    <xdr:sp>
      <xdr:nvSpPr>
        <xdr:cNvPr id="32" name="Polygon 40"/>
        <xdr:cNvSpPr>
          <a:spLocks/>
        </xdr:cNvSpPr>
      </xdr:nvSpPr>
      <xdr:spPr>
        <a:xfrm>
          <a:off x="1495425" y="6829425"/>
          <a:ext cx="981075" cy="485775"/>
        </a:xfrm>
        <a:custGeom>
          <a:pathLst>
            <a:path h="106" w="103">
              <a:moveTo>
                <a:pt x="1" y="1"/>
              </a:moveTo>
              <a:cubicBezTo>
                <a:pt x="2" y="5"/>
                <a:pt x="3" y="6"/>
                <a:pt x="2" y="9"/>
              </a:cubicBezTo>
              <a:cubicBezTo>
                <a:pt x="5" y="19"/>
                <a:pt x="3" y="31"/>
                <a:pt x="0" y="41"/>
              </a:cubicBezTo>
              <a:cubicBezTo>
                <a:pt x="1" y="47"/>
                <a:pt x="1" y="53"/>
                <a:pt x="3" y="59"/>
              </a:cubicBezTo>
              <a:cubicBezTo>
                <a:pt x="4" y="66"/>
                <a:pt x="5" y="71"/>
                <a:pt x="3" y="77"/>
              </a:cubicBezTo>
              <a:cubicBezTo>
                <a:pt x="2" y="79"/>
                <a:pt x="0" y="83"/>
                <a:pt x="0" y="83"/>
              </a:cubicBezTo>
              <a:cubicBezTo>
                <a:pt x="2" y="90"/>
                <a:pt x="1" y="98"/>
                <a:pt x="3" y="105"/>
              </a:cubicBezTo>
              <a:cubicBezTo>
                <a:pt x="10" y="103"/>
                <a:pt x="26" y="104"/>
                <a:pt x="32" y="104"/>
              </a:cubicBezTo>
              <a:cubicBezTo>
                <a:pt x="46" y="105"/>
                <a:pt x="57" y="106"/>
                <a:pt x="70" y="104"/>
              </a:cubicBezTo>
              <a:cubicBezTo>
                <a:pt x="76" y="106"/>
                <a:pt x="84" y="104"/>
                <a:pt x="91" y="105"/>
              </a:cubicBezTo>
              <a:cubicBezTo>
                <a:pt x="98" y="104"/>
                <a:pt x="103" y="105"/>
                <a:pt x="97" y="99"/>
              </a:cubicBezTo>
              <a:cubicBezTo>
                <a:pt x="96" y="88"/>
                <a:pt x="95" y="80"/>
                <a:pt x="99" y="69"/>
              </a:cubicBezTo>
              <a:cubicBezTo>
                <a:pt x="98" y="57"/>
                <a:pt x="97" y="45"/>
                <a:pt x="96" y="33"/>
              </a:cubicBezTo>
              <a:cubicBezTo>
                <a:pt x="96" y="27"/>
                <a:pt x="97" y="22"/>
                <a:pt x="97" y="16"/>
              </a:cubicBezTo>
              <a:cubicBezTo>
                <a:pt x="97" y="11"/>
                <a:pt x="96" y="0"/>
                <a:pt x="96" y="0"/>
              </a:cubicBezTo>
            </a:path>
          </a:pathLst>
        </a:custGeom>
        <a:pattFill prst="pct10">
          <a:fgClr>
            <a:srgbClr val="333333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38</xdr:row>
      <xdr:rowOff>28575</xdr:rowOff>
    </xdr:from>
    <xdr:to>
      <xdr:col>8</xdr:col>
      <xdr:colOff>133350</xdr:colOff>
      <xdr:row>44</xdr:row>
      <xdr:rowOff>85725</xdr:rowOff>
    </xdr:to>
    <xdr:sp>
      <xdr:nvSpPr>
        <xdr:cNvPr id="33" name="Polygon 41"/>
        <xdr:cNvSpPr>
          <a:spLocks/>
        </xdr:cNvSpPr>
      </xdr:nvSpPr>
      <xdr:spPr>
        <a:xfrm>
          <a:off x="4686300" y="6829425"/>
          <a:ext cx="1295400" cy="485775"/>
        </a:xfrm>
        <a:custGeom>
          <a:pathLst>
            <a:path h="106" w="103">
              <a:moveTo>
                <a:pt x="1" y="1"/>
              </a:moveTo>
              <a:cubicBezTo>
                <a:pt x="2" y="5"/>
                <a:pt x="3" y="6"/>
                <a:pt x="2" y="9"/>
              </a:cubicBezTo>
              <a:cubicBezTo>
                <a:pt x="5" y="19"/>
                <a:pt x="3" y="31"/>
                <a:pt x="0" y="41"/>
              </a:cubicBezTo>
              <a:cubicBezTo>
                <a:pt x="1" y="47"/>
                <a:pt x="1" y="53"/>
                <a:pt x="3" y="59"/>
              </a:cubicBezTo>
              <a:cubicBezTo>
                <a:pt x="4" y="66"/>
                <a:pt x="5" y="71"/>
                <a:pt x="3" y="77"/>
              </a:cubicBezTo>
              <a:cubicBezTo>
                <a:pt x="2" y="79"/>
                <a:pt x="0" y="83"/>
                <a:pt x="0" y="83"/>
              </a:cubicBezTo>
              <a:cubicBezTo>
                <a:pt x="2" y="90"/>
                <a:pt x="1" y="98"/>
                <a:pt x="3" y="105"/>
              </a:cubicBezTo>
              <a:cubicBezTo>
                <a:pt x="10" y="103"/>
                <a:pt x="26" y="104"/>
                <a:pt x="32" y="104"/>
              </a:cubicBezTo>
              <a:cubicBezTo>
                <a:pt x="46" y="105"/>
                <a:pt x="57" y="106"/>
                <a:pt x="70" y="104"/>
              </a:cubicBezTo>
              <a:cubicBezTo>
                <a:pt x="76" y="106"/>
                <a:pt x="84" y="104"/>
                <a:pt x="91" y="105"/>
              </a:cubicBezTo>
              <a:cubicBezTo>
                <a:pt x="98" y="104"/>
                <a:pt x="103" y="105"/>
                <a:pt x="97" y="99"/>
              </a:cubicBezTo>
              <a:cubicBezTo>
                <a:pt x="96" y="88"/>
                <a:pt x="95" y="80"/>
                <a:pt x="99" y="69"/>
              </a:cubicBezTo>
              <a:cubicBezTo>
                <a:pt x="98" y="57"/>
                <a:pt x="97" y="45"/>
                <a:pt x="96" y="33"/>
              </a:cubicBezTo>
              <a:cubicBezTo>
                <a:pt x="96" y="27"/>
                <a:pt x="97" y="22"/>
                <a:pt x="97" y="16"/>
              </a:cubicBezTo>
              <a:cubicBezTo>
                <a:pt x="97" y="11"/>
                <a:pt x="96" y="0"/>
                <a:pt x="96" y="0"/>
              </a:cubicBezTo>
            </a:path>
          </a:pathLst>
        </a:cu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36</xdr:row>
      <xdr:rowOff>0</xdr:rowOff>
    </xdr:from>
    <xdr:to>
      <xdr:col>2</xdr:col>
      <xdr:colOff>485775</xdr:colOff>
      <xdr:row>36</xdr:row>
      <xdr:rowOff>47625</xdr:rowOff>
    </xdr:to>
    <xdr:sp>
      <xdr:nvSpPr>
        <xdr:cNvPr id="34" name="Polygon 44"/>
        <xdr:cNvSpPr>
          <a:spLocks/>
        </xdr:cNvSpPr>
      </xdr:nvSpPr>
      <xdr:spPr>
        <a:xfrm>
          <a:off x="561975" y="6048375"/>
          <a:ext cx="981075" cy="47625"/>
        </a:xfrm>
        <a:custGeom>
          <a:pathLst>
            <a:path h="5" w="103">
              <a:moveTo>
                <a:pt x="0" y="1"/>
              </a:moveTo>
              <a:cubicBezTo>
                <a:pt x="8" y="2"/>
                <a:pt x="13" y="5"/>
                <a:pt x="19" y="1"/>
              </a:cubicBezTo>
              <a:cubicBezTo>
                <a:pt x="23" y="2"/>
                <a:pt x="28" y="4"/>
                <a:pt x="32" y="4"/>
              </a:cubicBezTo>
              <a:cubicBezTo>
                <a:pt x="38" y="4"/>
                <a:pt x="49" y="1"/>
                <a:pt x="49" y="1"/>
              </a:cubicBezTo>
              <a:cubicBezTo>
                <a:pt x="61" y="3"/>
                <a:pt x="73" y="1"/>
                <a:pt x="85" y="0"/>
              </a:cubicBezTo>
              <a:cubicBezTo>
                <a:pt x="91" y="2"/>
                <a:pt x="96" y="2"/>
                <a:pt x="103" y="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0</xdr:rowOff>
    </xdr:from>
    <xdr:to>
      <xdr:col>9</xdr:col>
      <xdr:colOff>619125</xdr:colOff>
      <xdr:row>36</xdr:row>
      <xdr:rowOff>66675</xdr:rowOff>
    </xdr:to>
    <xdr:sp>
      <xdr:nvSpPr>
        <xdr:cNvPr id="35" name="Polygon 45"/>
        <xdr:cNvSpPr>
          <a:spLocks/>
        </xdr:cNvSpPr>
      </xdr:nvSpPr>
      <xdr:spPr>
        <a:xfrm>
          <a:off x="5924550" y="6048375"/>
          <a:ext cx="1000125" cy="66675"/>
        </a:xfrm>
        <a:custGeom>
          <a:pathLst>
            <a:path h="7" w="137">
              <a:moveTo>
                <a:pt x="0" y="3"/>
              </a:moveTo>
              <a:cubicBezTo>
                <a:pt x="4" y="0"/>
                <a:pt x="28" y="4"/>
                <a:pt x="28" y="4"/>
              </a:cubicBezTo>
              <a:cubicBezTo>
                <a:pt x="46" y="6"/>
                <a:pt x="66" y="4"/>
                <a:pt x="84" y="3"/>
              </a:cubicBezTo>
              <a:cubicBezTo>
                <a:pt x="105" y="4"/>
                <a:pt x="114" y="7"/>
                <a:pt x="137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36</xdr:row>
      <xdr:rowOff>47625</xdr:rowOff>
    </xdr:from>
    <xdr:to>
      <xdr:col>8</xdr:col>
      <xdr:colOff>457200</xdr:colOff>
      <xdr:row>37</xdr:row>
      <xdr:rowOff>9525</xdr:rowOff>
    </xdr:to>
    <xdr:sp>
      <xdr:nvSpPr>
        <xdr:cNvPr id="36" name="Line 47"/>
        <xdr:cNvSpPr>
          <a:spLocks/>
        </xdr:cNvSpPr>
      </xdr:nvSpPr>
      <xdr:spPr>
        <a:xfrm>
          <a:off x="6305550" y="609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36</xdr:row>
      <xdr:rowOff>47625</xdr:rowOff>
    </xdr:from>
    <xdr:to>
      <xdr:col>8</xdr:col>
      <xdr:colOff>457200</xdr:colOff>
      <xdr:row>37</xdr:row>
      <xdr:rowOff>9525</xdr:rowOff>
    </xdr:to>
    <xdr:sp>
      <xdr:nvSpPr>
        <xdr:cNvPr id="37" name="Line 48"/>
        <xdr:cNvSpPr>
          <a:spLocks/>
        </xdr:cNvSpPr>
      </xdr:nvSpPr>
      <xdr:spPr>
        <a:xfrm>
          <a:off x="6305550" y="609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36</xdr:row>
      <xdr:rowOff>38100</xdr:rowOff>
    </xdr:from>
    <xdr:to>
      <xdr:col>9</xdr:col>
      <xdr:colOff>76200</xdr:colOff>
      <xdr:row>37</xdr:row>
      <xdr:rowOff>0</xdr:rowOff>
    </xdr:to>
    <xdr:sp>
      <xdr:nvSpPr>
        <xdr:cNvPr id="38" name="Line 49"/>
        <xdr:cNvSpPr>
          <a:spLocks/>
        </xdr:cNvSpPr>
      </xdr:nvSpPr>
      <xdr:spPr>
        <a:xfrm>
          <a:off x="6305550" y="6086475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36</xdr:row>
      <xdr:rowOff>47625</xdr:rowOff>
    </xdr:from>
    <xdr:to>
      <xdr:col>8</xdr:col>
      <xdr:colOff>457200</xdr:colOff>
      <xdr:row>37</xdr:row>
      <xdr:rowOff>19050</xdr:rowOff>
    </xdr:to>
    <xdr:sp>
      <xdr:nvSpPr>
        <xdr:cNvPr id="39" name="Line 50"/>
        <xdr:cNvSpPr>
          <a:spLocks/>
        </xdr:cNvSpPr>
      </xdr:nvSpPr>
      <xdr:spPr>
        <a:xfrm flipH="1">
          <a:off x="6305550" y="609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36</xdr:row>
      <xdr:rowOff>38100</xdr:rowOff>
    </xdr:from>
    <xdr:to>
      <xdr:col>8</xdr:col>
      <xdr:colOff>457200</xdr:colOff>
      <xdr:row>37</xdr:row>
      <xdr:rowOff>9525</xdr:rowOff>
    </xdr:to>
    <xdr:sp>
      <xdr:nvSpPr>
        <xdr:cNvPr id="40" name="Line 51"/>
        <xdr:cNvSpPr>
          <a:spLocks/>
        </xdr:cNvSpPr>
      </xdr:nvSpPr>
      <xdr:spPr>
        <a:xfrm flipH="1">
          <a:off x="6305550" y="608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36</xdr:row>
      <xdr:rowOff>38100</xdr:rowOff>
    </xdr:from>
    <xdr:to>
      <xdr:col>8</xdr:col>
      <xdr:colOff>457200</xdr:colOff>
      <xdr:row>37</xdr:row>
      <xdr:rowOff>9525</xdr:rowOff>
    </xdr:to>
    <xdr:sp>
      <xdr:nvSpPr>
        <xdr:cNvPr id="41" name="Line 52"/>
        <xdr:cNvSpPr>
          <a:spLocks/>
        </xdr:cNvSpPr>
      </xdr:nvSpPr>
      <xdr:spPr>
        <a:xfrm flipH="1">
          <a:off x="6305550" y="608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36</xdr:row>
      <xdr:rowOff>19050</xdr:rowOff>
    </xdr:from>
    <xdr:to>
      <xdr:col>2</xdr:col>
      <xdr:colOff>114300</xdr:colOff>
      <xdr:row>36</xdr:row>
      <xdr:rowOff>142875</xdr:rowOff>
    </xdr:to>
    <xdr:sp>
      <xdr:nvSpPr>
        <xdr:cNvPr id="42" name="Line 53"/>
        <xdr:cNvSpPr>
          <a:spLocks/>
        </xdr:cNvSpPr>
      </xdr:nvSpPr>
      <xdr:spPr>
        <a:xfrm>
          <a:off x="1019175" y="6067425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36</xdr:row>
      <xdr:rowOff>28575</xdr:rowOff>
    </xdr:from>
    <xdr:to>
      <xdr:col>2</xdr:col>
      <xdr:colOff>38100</xdr:colOff>
      <xdr:row>36</xdr:row>
      <xdr:rowOff>152400</xdr:rowOff>
    </xdr:to>
    <xdr:sp>
      <xdr:nvSpPr>
        <xdr:cNvPr id="43" name="Line 54"/>
        <xdr:cNvSpPr>
          <a:spLocks/>
        </xdr:cNvSpPr>
      </xdr:nvSpPr>
      <xdr:spPr>
        <a:xfrm>
          <a:off x="942975" y="6076950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19050</xdr:rowOff>
    </xdr:from>
    <xdr:to>
      <xdr:col>2</xdr:col>
      <xdr:colOff>219075</xdr:colOff>
      <xdr:row>36</xdr:row>
      <xdr:rowOff>142875</xdr:rowOff>
    </xdr:to>
    <xdr:sp>
      <xdr:nvSpPr>
        <xdr:cNvPr id="44" name="Line 55"/>
        <xdr:cNvSpPr>
          <a:spLocks/>
        </xdr:cNvSpPr>
      </xdr:nvSpPr>
      <xdr:spPr>
        <a:xfrm>
          <a:off x="1123950" y="6067425"/>
          <a:ext cx="1524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36</xdr:row>
      <xdr:rowOff>9525</xdr:rowOff>
    </xdr:from>
    <xdr:to>
      <xdr:col>1</xdr:col>
      <xdr:colOff>714375</xdr:colOff>
      <xdr:row>36</xdr:row>
      <xdr:rowOff>142875</xdr:rowOff>
    </xdr:to>
    <xdr:sp>
      <xdr:nvSpPr>
        <xdr:cNvPr id="45" name="Line 56"/>
        <xdr:cNvSpPr>
          <a:spLocks/>
        </xdr:cNvSpPr>
      </xdr:nvSpPr>
      <xdr:spPr>
        <a:xfrm flipH="1">
          <a:off x="904875" y="6057900"/>
          <a:ext cx="104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36</xdr:row>
      <xdr:rowOff>19050</xdr:rowOff>
    </xdr:from>
    <xdr:to>
      <xdr:col>2</xdr:col>
      <xdr:colOff>28575</xdr:colOff>
      <xdr:row>36</xdr:row>
      <xdr:rowOff>152400</xdr:rowOff>
    </xdr:to>
    <xdr:sp>
      <xdr:nvSpPr>
        <xdr:cNvPr id="46" name="Line 57"/>
        <xdr:cNvSpPr>
          <a:spLocks/>
        </xdr:cNvSpPr>
      </xdr:nvSpPr>
      <xdr:spPr>
        <a:xfrm flipH="1">
          <a:off x="981075" y="6067425"/>
          <a:ext cx="104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36</xdr:row>
      <xdr:rowOff>19050</xdr:rowOff>
    </xdr:from>
    <xdr:to>
      <xdr:col>2</xdr:col>
      <xdr:colOff>85725</xdr:colOff>
      <xdr:row>36</xdr:row>
      <xdr:rowOff>152400</xdr:rowOff>
    </xdr:to>
    <xdr:sp>
      <xdr:nvSpPr>
        <xdr:cNvPr id="47" name="Line 58"/>
        <xdr:cNvSpPr>
          <a:spLocks/>
        </xdr:cNvSpPr>
      </xdr:nvSpPr>
      <xdr:spPr>
        <a:xfrm flipH="1">
          <a:off x="1038225" y="6067425"/>
          <a:ext cx="104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35</xdr:row>
      <xdr:rowOff>9525</xdr:rowOff>
    </xdr:from>
    <xdr:to>
      <xdr:col>8</xdr:col>
      <xdr:colOff>457200</xdr:colOff>
      <xdr:row>36</xdr:row>
      <xdr:rowOff>38100</xdr:rowOff>
    </xdr:to>
    <xdr:sp>
      <xdr:nvSpPr>
        <xdr:cNvPr id="48" name="Line 60"/>
        <xdr:cNvSpPr>
          <a:spLocks/>
        </xdr:cNvSpPr>
      </xdr:nvSpPr>
      <xdr:spPr>
        <a:xfrm>
          <a:off x="6305550" y="5895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35</xdr:row>
      <xdr:rowOff>9525</xdr:rowOff>
    </xdr:from>
    <xdr:to>
      <xdr:col>8</xdr:col>
      <xdr:colOff>457200</xdr:colOff>
      <xdr:row>35</xdr:row>
      <xdr:rowOff>9525</xdr:rowOff>
    </xdr:to>
    <xdr:sp>
      <xdr:nvSpPr>
        <xdr:cNvPr id="49" name="Line 61"/>
        <xdr:cNvSpPr>
          <a:spLocks/>
        </xdr:cNvSpPr>
      </xdr:nvSpPr>
      <xdr:spPr>
        <a:xfrm flipH="1">
          <a:off x="5886450" y="58959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43</xdr:row>
      <xdr:rowOff>0</xdr:rowOff>
    </xdr:from>
    <xdr:to>
      <xdr:col>2</xdr:col>
      <xdr:colOff>438150</xdr:colOff>
      <xdr:row>43</xdr:row>
      <xdr:rowOff>57150</xdr:rowOff>
    </xdr:to>
    <xdr:sp>
      <xdr:nvSpPr>
        <xdr:cNvPr id="50" name="Polygon 62"/>
        <xdr:cNvSpPr>
          <a:spLocks/>
        </xdr:cNvSpPr>
      </xdr:nvSpPr>
      <xdr:spPr>
        <a:xfrm>
          <a:off x="723900" y="7172325"/>
          <a:ext cx="771525" cy="57150"/>
        </a:xfrm>
        <a:custGeom>
          <a:pathLst>
            <a:path h="7" w="81">
              <a:moveTo>
                <a:pt x="0" y="4"/>
              </a:moveTo>
              <a:cubicBezTo>
                <a:pt x="20" y="3"/>
                <a:pt x="13" y="4"/>
                <a:pt x="24" y="0"/>
              </a:cubicBezTo>
              <a:cubicBezTo>
                <a:pt x="30" y="1"/>
                <a:pt x="34" y="4"/>
                <a:pt x="40" y="5"/>
              </a:cubicBezTo>
              <a:cubicBezTo>
                <a:pt x="47" y="4"/>
                <a:pt x="51" y="3"/>
                <a:pt x="57" y="7"/>
              </a:cubicBezTo>
              <a:cubicBezTo>
                <a:pt x="65" y="3"/>
                <a:pt x="72" y="4"/>
                <a:pt x="81" y="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42</xdr:row>
      <xdr:rowOff>57150</xdr:rowOff>
    </xdr:from>
    <xdr:to>
      <xdr:col>6</xdr:col>
      <xdr:colOff>581025</xdr:colOff>
      <xdr:row>43</xdr:row>
      <xdr:rowOff>57150</xdr:rowOff>
    </xdr:to>
    <xdr:sp>
      <xdr:nvSpPr>
        <xdr:cNvPr id="51" name="Polygon 63"/>
        <xdr:cNvSpPr>
          <a:spLocks/>
        </xdr:cNvSpPr>
      </xdr:nvSpPr>
      <xdr:spPr>
        <a:xfrm>
          <a:off x="2419350" y="7172325"/>
          <a:ext cx="2266950" cy="57150"/>
        </a:xfrm>
        <a:custGeom>
          <a:pathLst>
            <a:path h="9" w="250">
              <a:moveTo>
                <a:pt x="0" y="5"/>
              </a:moveTo>
              <a:cubicBezTo>
                <a:pt x="14" y="6"/>
                <a:pt x="27" y="6"/>
                <a:pt x="41" y="9"/>
              </a:cubicBezTo>
              <a:cubicBezTo>
                <a:pt x="64" y="0"/>
                <a:pt x="97" y="4"/>
                <a:pt x="121" y="3"/>
              </a:cubicBezTo>
              <a:cubicBezTo>
                <a:pt x="127" y="2"/>
                <a:pt x="138" y="5"/>
                <a:pt x="138" y="5"/>
              </a:cubicBezTo>
              <a:cubicBezTo>
                <a:pt x="163" y="2"/>
                <a:pt x="190" y="6"/>
                <a:pt x="216" y="7"/>
              </a:cubicBezTo>
              <a:cubicBezTo>
                <a:pt x="225" y="7"/>
                <a:pt x="240" y="3"/>
                <a:pt x="250" y="3"/>
              </a:cubicBezTo>
            </a:path>
          </a:pathLst>
        </a:custGeom>
        <a:pattFill prst="weave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42</xdr:row>
      <xdr:rowOff>57150</xdr:rowOff>
    </xdr:from>
    <xdr:to>
      <xdr:col>9</xdr:col>
      <xdr:colOff>523875</xdr:colOff>
      <xdr:row>43</xdr:row>
      <xdr:rowOff>38100</xdr:rowOff>
    </xdr:to>
    <xdr:sp>
      <xdr:nvSpPr>
        <xdr:cNvPr id="52" name="Polygon 64"/>
        <xdr:cNvSpPr>
          <a:spLocks/>
        </xdr:cNvSpPr>
      </xdr:nvSpPr>
      <xdr:spPr>
        <a:xfrm>
          <a:off x="5924550" y="7172325"/>
          <a:ext cx="904875" cy="38100"/>
        </a:xfrm>
        <a:custGeom>
          <a:pathLst>
            <a:path h="7" w="81">
              <a:moveTo>
                <a:pt x="0" y="4"/>
              </a:moveTo>
              <a:cubicBezTo>
                <a:pt x="20" y="3"/>
                <a:pt x="13" y="4"/>
                <a:pt x="24" y="0"/>
              </a:cubicBezTo>
              <a:cubicBezTo>
                <a:pt x="30" y="1"/>
                <a:pt x="34" y="4"/>
                <a:pt x="40" y="5"/>
              </a:cubicBezTo>
              <a:cubicBezTo>
                <a:pt x="47" y="4"/>
                <a:pt x="51" y="3"/>
                <a:pt x="57" y="7"/>
              </a:cubicBezTo>
              <a:cubicBezTo>
                <a:pt x="65" y="3"/>
                <a:pt x="72" y="4"/>
                <a:pt x="81" y="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76200</xdr:rowOff>
    </xdr:from>
    <xdr:to>
      <xdr:col>6</xdr:col>
      <xdr:colOff>581025</xdr:colOff>
      <xdr:row>44</xdr:row>
      <xdr:rowOff>76200</xdr:rowOff>
    </xdr:to>
    <xdr:sp>
      <xdr:nvSpPr>
        <xdr:cNvPr id="53" name="Line 65"/>
        <xdr:cNvSpPr>
          <a:spLocks/>
        </xdr:cNvSpPr>
      </xdr:nvSpPr>
      <xdr:spPr>
        <a:xfrm flipH="1" flipV="1">
          <a:off x="4105275" y="73056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38</xdr:row>
      <xdr:rowOff>66675</xdr:rowOff>
    </xdr:from>
    <xdr:to>
      <xdr:col>6</xdr:col>
      <xdr:colOff>447675</xdr:colOff>
      <xdr:row>44</xdr:row>
      <xdr:rowOff>76200</xdr:rowOff>
    </xdr:to>
    <xdr:sp>
      <xdr:nvSpPr>
        <xdr:cNvPr id="54" name="Line 66"/>
        <xdr:cNvSpPr>
          <a:spLocks/>
        </xdr:cNvSpPr>
      </xdr:nvSpPr>
      <xdr:spPr>
        <a:xfrm>
          <a:off x="4552950" y="6867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44</xdr:row>
      <xdr:rowOff>76200</xdr:rowOff>
    </xdr:from>
    <xdr:to>
      <xdr:col>6</xdr:col>
      <xdr:colOff>447675</xdr:colOff>
      <xdr:row>46</xdr:row>
      <xdr:rowOff>152400</xdr:rowOff>
    </xdr:to>
    <xdr:sp>
      <xdr:nvSpPr>
        <xdr:cNvPr id="55" name="Line 67"/>
        <xdr:cNvSpPr>
          <a:spLocks/>
        </xdr:cNvSpPr>
      </xdr:nvSpPr>
      <xdr:spPr>
        <a:xfrm>
          <a:off x="4552950" y="73056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43</xdr:row>
      <xdr:rowOff>19050</xdr:rowOff>
    </xdr:from>
    <xdr:to>
      <xdr:col>9</xdr:col>
      <xdr:colOff>228600</xdr:colOff>
      <xdr:row>48</xdr:row>
      <xdr:rowOff>66675</xdr:rowOff>
    </xdr:to>
    <xdr:sp>
      <xdr:nvSpPr>
        <xdr:cNvPr id="56" name="Polygon 68"/>
        <xdr:cNvSpPr>
          <a:spLocks/>
        </xdr:cNvSpPr>
      </xdr:nvSpPr>
      <xdr:spPr>
        <a:xfrm>
          <a:off x="638175" y="7191375"/>
          <a:ext cx="5895975" cy="752475"/>
        </a:xfrm>
        <a:custGeom>
          <a:pathLst>
            <a:path h="90" w="628">
              <a:moveTo>
                <a:pt x="7" y="0"/>
              </a:moveTo>
              <a:cubicBezTo>
                <a:pt x="6" y="6"/>
                <a:pt x="6" y="7"/>
                <a:pt x="5" y="12"/>
              </a:cubicBezTo>
              <a:cubicBezTo>
                <a:pt x="4" y="14"/>
                <a:pt x="3" y="18"/>
                <a:pt x="3" y="18"/>
              </a:cubicBezTo>
              <a:cubicBezTo>
                <a:pt x="3" y="29"/>
                <a:pt x="0" y="39"/>
                <a:pt x="8" y="47"/>
              </a:cubicBezTo>
              <a:cubicBezTo>
                <a:pt x="9" y="51"/>
                <a:pt x="6" y="60"/>
                <a:pt x="6" y="60"/>
              </a:cubicBezTo>
              <a:cubicBezTo>
                <a:pt x="7" y="70"/>
                <a:pt x="5" y="84"/>
                <a:pt x="15" y="89"/>
              </a:cubicBezTo>
              <a:cubicBezTo>
                <a:pt x="58" y="87"/>
                <a:pt x="99" y="86"/>
                <a:pt x="142" y="85"/>
              </a:cubicBezTo>
              <a:cubicBezTo>
                <a:pt x="193" y="86"/>
                <a:pt x="219" y="88"/>
                <a:pt x="261" y="84"/>
              </a:cubicBezTo>
              <a:cubicBezTo>
                <a:pt x="272" y="81"/>
                <a:pt x="283" y="83"/>
                <a:pt x="294" y="87"/>
              </a:cubicBezTo>
              <a:cubicBezTo>
                <a:pt x="306" y="86"/>
                <a:pt x="317" y="83"/>
                <a:pt x="329" y="81"/>
              </a:cubicBezTo>
              <a:cubicBezTo>
                <a:pt x="359" y="82"/>
                <a:pt x="390" y="85"/>
                <a:pt x="420" y="87"/>
              </a:cubicBezTo>
              <a:cubicBezTo>
                <a:pt x="435" y="86"/>
                <a:pt x="450" y="85"/>
                <a:pt x="465" y="84"/>
              </a:cubicBezTo>
              <a:cubicBezTo>
                <a:pt x="490" y="85"/>
                <a:pt x="514" y="87"/>
                <a:pt x="539" y="88"/>
              </a:cubicBezTo>
              <a:cubicBezTo>
                <a:pt x="561" y="90"/>
                <a:pt x="584" y="88"/>
                <a:pt x="606" y="86"/>
              </a:cubicBezTo>
              <a:cubicBezTo>
                <a:pt x="614" y="87"/>
                <a:pt x="622" y="90"/>
                <a:pt x="620" y="80"/>
              </a:cubicBezTo>
              <a:cubicBezTo>
                <a:pt x="620" y="65"/>
                <a:pt x="628" y="23"/>
                <a:pt x="616" y="5"/>
              </a:cubicBezTo>
              <a:cubicBezTo>
                <a:pt x="615" y="0"/>
                <a:pt x="616" y="1"/>
                <a:pt x="612" y="1"/>
              </a:cubicBezTo>
            </a:path>
          </a:pathLst>
        </a:custGeom>
        <a:pattFill prst="pct80">
          <a:fgClr>
            <a:srgbClr val="FFFFFF"/>
          </a:fgClr>
          <a:bgClr>
            <a:srgbClr val="000000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43</xdr:row>
      <xdr:rowOff>47625</xdr:rowOff>
    </xdr:from>
    <xdr:to>
      <xdr:col>2</xdr:col>
      <xdr:colOff>28575</xdr:colOff>
      <xdr:row>45</xdr:row>
      <xdr:rowOff>57150</xdr:rowOff>
    </xdr:to>
    <xdr:sp>
      <xdr:nvSpPr>
        <xdr:cNvPr id="57" name="Polygon 70"/>
        <xdr:cNvSpPr>
          <a:spLocks/>
        </xdr:cNvSpPr>
      </xdr:nvSpPr>
      <xdr:spPr>
        <a:xfrm>
          <a:off x="838200" y="7219950"/>
          <a:ext cx="247650" cy="228600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44</xdr:row>
      <xdr:rowOff>38100</xdr:rowOff>
    </xdr:from>
    <xdr:to>
      <xdr:col>2</xdr:col>
      <xdr:colOff>180975</xdr:colOff>
      <xdr:row>46</xdr:row>
      <xdr:rowOff>47625</xdr:rowOff>
    </xdr:to>
    <xdr:sp>
      <xdr:nvSpPr>
        <xdr:cNvPr id="58" name="Polygon 71"/>
        <xdr:cNvSpPr>
          <a:spLocks/>
        </xdr:cNvSpPr>
      </xdr:nvSpPr>
      <xdr:spPr>
        <a:xfrm>
          <a:off x="990600" y="7267575"/>
          <a:ext cx="247650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45</xdr:row>
      <xdr:rowOff>28575</xdr:rowOff>
    </xdr:from>
    <xdr:to>
      <xdr:col>2</xdr:col>
      <xdr:colOff>333375</xdr:colOff>
      <xdr:row>47</xdr:row>
      <xdr:rowOff>38100</xdr:rowOff>
    </xdr:to>
    <xdr:sp>
      <xdr:nvSpPr>
        <xdr:cNvPr id="59" name="Polygon 72"/>
        <xdr:cNvSpPr>
          <a:spLocks/>
        </xdr:cNvSpPr>
      </xdr:nvSpPr>
      <xdr:spPr>
        <a:xfrm>
          <a:off x="1143000" y="7419975"/>
          <a:ext cx="247650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46</xdr:row>
      <xdr:rowOff>19050</xdr:rowOff>
    </xdr:from>
    <xdr:to>
      <xdr:col>2</xdr:col>
      <xdr:colOff>485775</xdr:colOff>
      <xdr:row>48</xdr:row>
      <xdr:rowOff>28575</xdr:rowOff>
    </xdr:to>
    <xdr:sp>
      <xdr:nvSpPr>
        <xdr:cNvPr id="60" name="Polygon 73"/>
        <xdr:cNvSpPr>
          <a:spLocks/>
        </xdr:cNvSpPr>
      </xdr:nvSpPr>
      <xdr:spPr>
        <a:xfrm>
          <a:off x="1295400" y="7572375"/>
          <a:ext cx="247650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47</xdr:row>
      <xdr:rowOff>9525</xdr:rowOff>
    </xdr:from>
    <xdr:to>
      <xdr:col>2</xdr:col>
      <xdr:colOff>638175</xdr:colOff>
      <xdr:row>49</xdr:row>
      <xdr:rowOff>19050</xdr:rowOff>
    </xdr:to>
    <xdr:sp>
      <xdr:nvSpPr>
        <xdr:cNvPr id="61" name="Polygon 74"/>
        <xdr:cNvSpPr>
          <a:spLocks/>
        </xdr:cNvSpPr>
      </xdr:nvSpPr>
      <xdr:spPr>
        <a:xfrm>
          <a:off x="1447800" y="7724775"/>
          <a:ext cx="247650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43</xdr:row>
      <xdr:rowOff>47625</xdr:rowOff>
    </xdr:from>
    <xdr:to>
      <xdr:col>4</xdr:col>
      <xdr:colOff>133350</xdr:colOff>
      <xdr:row>45</xdr:row>
      <xdr:rowOff>57150</xdr:rowOff>
    </xdr:to>
    <xdr:sp>
      <xdr:nvSpPr>
        <xdr:cNvPr id="62" name="Polygon 75"/>
        <xdr:cNvSpPr>
          <a:spLocks/>
        </xdr:cNvSpPr>
      </xdr:nvSpPr>
      <xdr:spPr>
        <a:xfrm>
          <a:off x="2466975" y="7219950"/>
          <a:ext cx="247650" cy="228600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44</xdr:row>
      <xdr:rowOff>38100</xdr:rowOff>
    </xdr:from>
    <xdr:to>
      <xdr:col>4</xdr:col>
      <xdr:colOff>285750</xdr:colOff>
      <xdr:row>46</xdr:row>
      <xdr:rowOff>47625</xdr:rowOff>
    </xdr:to>
    <xdr:sp>
      <xdr:nvSpPr>
        <xdr:cNvPr id="63" name="Polygon 76"/>
        <xdr:cNvSpPr>
          <a:spLocks/>
        </xdr:cNvSpPr>
      </xdr:nvSpPr>
      <xdr:spPr>
        <a:xfrm>
          <a:off x="2619375" y="7267575"/>
          <a:ext cx="247650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45</xdr:row>
      <xdr:rowOff>28575</xdr:rowOff>
    </xdr:from>
    <xdr:to>
      <xdr:col>4</xdr:col>
      <xdr:colOff>438150</xdr:colOff>
      <xdr:row>47</xdr:row>
      <xdr:rowOff>38100</xdr:rowOff>
    </xdr:to>
    <xdr:sp>
      <xdr:nvSpPr>
        <xdr:cNvPr id="64" name="Polygon 77"/>
        <xdr:cNvSpPr>
          <a:spLocks/>
        </xdr:cNvSpPr>
      </xdr:nvSpPr>
      <xdr:spPr>
        <a:xfrm>
          <a:off x="2771775" y="7419975"/>
          <a:ext cx="247650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46</xdr:row>
      <xdr:rowOff>19050</xdr:rowOff>
    </xdr:from>
    <xdr:to>
      <xdr:col>4</xdr:col>
      <xdr:colOff>590550</xdr:colOff>
      <xdr:row>48</xdr:row>
      <xdr:rowOff>28575</xdr:rowOff>
    </xdr:to>
    <xdr:sp>
      <xdr:nvSpPr>
        <xdr:cNvPr id="65" name="Polygon 78"/>
        <xdr:cNvSpPr>
          <a:spLocks/>
        </xdr:cNvSpPr>
      </xdr:nvSpPr>
      <xdr:spPr>
        <a:xfrm>
          <a:off x="2924175" y="7572375"/>
          <a:ext cx="247650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47</xdr:row>
      <xdr:rowOff>9525</xdr:rowOff>
    </xdr:from>
    <xdr:to>
      <xdr:col>4</xdr:col>
      <xdr:colOff>742950</xdr:colOff>
      <xdr:row>49</xdr:row>
      <xdr:rowOff>19050</xdr:rowOff>
    </xdr:to>
    <xdr:sp>
      <xdr:nvSpPr>
        <xdr:cNvPr id="66" name="Polygon 79"/>
        <xdr:cNvSpPr>
          <a:spLocks/>
        </xdr:cNvSpPr>
      </xdr:nvSpPr>
      <xdr:spPr>
        <a:xfrm>
          <a:off x="3076575" y="7724775"/>
          <a:ext cx="247650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43</xdr:row>
      <xdr:rowOff>9525</xdr:rowOff>
    </xdr:from>
    <xdr:to>
      <xdr:col>8</xdr:col>
      <xdr:colOff>457200</xdr:colOff>
      <xdr:row>45</xdr:row>
      <xdr:rowOff>19050</xdr:rowOff>
    </xdr:to>
    <xdr:sp>
      <xdr:nvSpPr>
        <xdr:cNvPr id="67" name="Polygon 80"/>
        <xdr:cNvSpPr>
          <a:spLocks/>
        </xdr:cNvSpPr>
      </xdr:nvSpPr>
      <xdr:spPr>
        <a:xfrm>
          <a:off x="6181725" y="7181850"/>
          <a:ext cx="123825" cy="228600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44</xdr:row>
      <xdr:rowOff>0</xdr:rowOff>
    </xdr:from>
    <xdr:to>
      <xdr:col>8</xdr:col>
      <xdr:colOff>457200</xdr:colOff>
      <xdr:row>46</xdr:row>
      <xdr:rowOff>9525</xdr:rowOff>
    </xdr:to>
    <xdr:sp>
      <xdr:nvSpPr>
        <xdr:cNvPr id="68" name="Polygon 81"/>
        <xdr:cNvSpPr>
          <a:spLocks/>
        </xdr:cNvSpPr>
      </xdr:nvSpPr>
      <xdr:spPr>
        <a:xfrm>
          <a:off x="6305550" y="7229475"/>
          <a:ext cx="0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44</xdr:row>
      <xdr:rowOff>152400</xdr:rowOff>
    </xdr:from>
    <xdr:to>
      <xdr:col>9</xdr:col>
      <xdr:colOff>123825</xdr:colOff>
      <xdr:row>47</xdr:row>
      <xdr:rowOff>0</xdr:rowOff>
    </xdr:to>
    <xdr:sp>
      <xdr:nvSpPr>
        <xdr:cNvPr id="69" name="Polygon 82"/>
        <xdr:cNvSpPr>
          <a:spLocks/>
        </xdr:cNvSpPr>
      </xdr:nvSpPr>
      <xdr:spPr>
        <a:xfrm>
          <a:off x="6305550" y="7381875"/>
          <a:ext cx="123825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45</xdr:row>
      <xdr:rowOff>142875</xdr:rowOff>
    </xdr:from>
    <xdr:to>
      <xdr:col>9</xdr:col>
      <xdr:colOff>276225</xdr:colOff>
      <xdr:row>47</xdr:row>
      <xdr:rowOff>152400</xdr:rowOff>
    </xdr:to>
    <xdr:sp>
      <xdr:nvSpPr>
        <xdr:cNvPr id="70" name="Polygon 83"/>
        <xdr:cNvSpPr>
          <a:spLocks/>
        </xdr:cNvSpPr>
      </xdr:nvSpPr>
      <xdr:spPr>
        <a:xfrm>
          <a:off x="6334125" y="7534275"/>
          <a:ext cx="247650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46</xdr:row>
      <xdr:rowOff>133350</xdr:rowOff>
    </xdr:from>
    <xdr:to>
      <xdr:col>9</xdr:col>
      <xdr:colOff>428625</xdr:colOff>
      <xdr:row>48</xdr:row>
      <xdr:rowOff>142875</xdr:rowOff>
    </xdr:to>
    <xdr:sp>
      <xdr:nvSpPr>
        <xdr:cNvPr id="71" name="Polygon 84"/>
        <xdr:cNvSpPr>
          <a:spLocks/>
        </xdr:cNvSpPr>
      </xdr:nvSpPr>
      <xdr:spPr>
        <a:xfrm>
          <a:off x="6486525" y="7686675"/>
          <a:ext cx="247650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44</xdr:row>
      <xdr:rowOff>66675</xdr:rowOff>
    </xdr:from>
    <xdr:to>
      <xdr:col>7</xdr:col>
      <xdr:colOff>523875</xdr:colOff>
      <xdr:row>46</xdr:row>
      <xdr:rowOff>76200</xdr:rowOff>
    </xdr:to>
    <xdr:sp>
      <xdr:nvSpPr>
        <xdr:cNvPr id="72" name="Polygon 85"/>
        <xdr:cNvSpPr>
          <a:spLocks/>
        </xdr:cNvSpPr>
      </xdr:nvSpPr>
      <xdr:spPr>
        <a:xfrm>
          <a:off x="4962525" y="7296150"/>
          <a:ext cx="247650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45</xdr:row>
      <xdr:rowOff>57150</xdr:rowOff>
    </xdr:from>
    <xdr:to>
      <xdr:col>7</xdr:col>
      <xdr:colOff>676275</xdr:colOff>
      <xdr:row>47</xdr:row>
      <xdr:rowOff>66675</xdr:rowOff>
    </xdr:to>
    <xdr:sp>
      <xdr:nvSpPr>
        <xdr:cNvPr id="73" name="Polygon 86"/>
        <xdr:cNvSpPr>
          <a:spLocks/>
        </xdr:cNvSpPr>
      </xdr:nvSpPr>
      <xdr:spPr>
        <a:xfrm>
          <a:off x="5114925" y="7448550"/>
          <a:ext cx="247650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46</xdr:row>
      <xdr:rowOff>47625</xdr:rowOff>
    </xdr:from>
    <xdr:to>
      <xdr:col>8</xdr:col>
      <xdr:colOff>66675</xdr:colOff>
      <xdr:row>48</xdr:row>
      <xdr:rowOff>57150</xdr:rowOff>
    </xdr:to>
    <xdr:sp>
      <xdr:nvSpPr>
        <xdr:cNvPr id="74" name="Polygon 87"/>
        <xdr:cNvSpPr>
          <a:spLocks/>
        </xdr:cNvSpPr>
      </xdr:nvSpPr>
      <xdr:spPr>
        <a:xfrm>
          <a:off x="5267325" y="7600950"/>
          <a:ext cx="647700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47</xdr:row>
      <xdr:rowOff>38100</xdr:rowOff>
    </xdr:from>
    <xdr:to>
      <xdr:col>8</xdr:col>
      <xdr:colOff>219075</xdr:colOff>
      <xdr:row>49</xdr:row>
      <xdr:rowOff>47625</xdr:rowOff>
    </xdr:to>
    <xdr:sp>
      <xdr:nvSpPr>
        <xdr:cNvPr id="75" name="Polygon 88"/>
        <xdr:cNvSpPr>
          <a:spLocks/>
        </xdr:cNvSpPr>
      </xdr:nvSpPr>
      <xdr:spPr>
        <a:xfrm>
          <a:off x="5419725" y="7753350"/>
          <a:ext cx="647700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44</xdr:row>
      <xdr:rowOff>76200</xdr:rowOff>
    </xdr:from>
    <xdr:to>
      <xdr:col>3</xdr:col>
      <xdr:colOff>238125</xdr:colOff>
      <xdr:row>46</xdr:row>
      <xdr:rowOff>85725</xdr:rowOff>
    </xdr:to>
    <xdr:sp>
      <xdr:nvSpPr>
        <xdr:cNvPr id="76" name="Polygon 90"/>
        <xdr:cNvSpPr>
          <a:spLocks/>
        </xdr:cNvSpPr>
      </xdr:nvSpPr>
      <xdr:spPr>
        <a:xfrm>
          <a:off x="1809750" y="7305675"/>
          <a:ext cx="247650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45</xdr:row>
      <xdr:rowOff>47625</xdr:rowOff>
    </xdr:from>
    <xdr:to>
      <xdr:col>3</xdr:col>
      <xdr:colOff>390525</xdr:colOff>
      <xdr:row>47</xdr:row>
      <xdr:rowOff>57150</xdr:rowOff>
    </xdr:to>
    <xdr:sp>
      <xdr:nvSpPr>
        <xdr:cNvPr id="77" name="Polygon 91"/>
        <xdr:cNvSpPr>
          <a:spLocks/>
        </xdr:cNvSpPr>
      </xdr:nvSpPr>
      <xdr:spPr>
        <a:xfrm>
          <a:off x="1962150" y="7439025"/>
          <a:ext cx="247650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46</xdr:row>
      <xdr:rowOff>38100</xdr:rowOff>
    </xdr:from>
    <xdr:to>
      <xdr:col>3</xdr:col>
      <xdr:colOff>542925</xdr:colOff>
      <xdr:row>48</xdr:row>
      <xdr:rowOff>47625</xdr:rowOff>
    </xdr:to>
    <xdr:sp>
      <xdr:nvSpPr>
        <xdr:cNvPr id="78" name="Polygon 92"/>
        <xdr:cNvSpPr>
          <a:spLocks/>
        </xdr:cNvSpPr>
      </xdr:nvSpPr>
      <xdr:spPr>
        <a:xfrm>
          <a:off x="2114550" y="7591425"/>
          <a:ext cx="247650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47</xdr:row>
      <xdr:rowOff>28575</xdr:rowOff>
    </xdr:from>
    <xdr:to>
      <xdr:col>3</xdr:col>
      <xdr:colOff>695325</xdr:colOff>
      <xdr:row>49</xdr:row>
      <xdr:rowOff>38100</xdr:rowOff>
    </xdr:to>
    <xdr:sp>
      <xdr:nvSpPr>
        <xdr:cNvPr id="79" name="Polygon 93"/>
        <xdr:cNvSpPr>
          <a:spLocks/>
        </xdr:cNvSpPr>
      </xdr:nvSpPr>
      <xdr:spPr>
        <a:xfrm>
          <a:off x="2266950" y="7743825"/>
          <a:ext cx="247650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43</xdr:row>
      <xdr:rowOff>19050</xdr:rowOff>
    </xdr:from>
    <xdr:to>
      <xdr:col>5</xdr:col>
      <xdr:colOff>333375</xdr:colOff>
      <xdr:row>45</xdr:row>
      <xdr:rowOff>28575</xdr:rowOff>
    </xdr:to>
    <xdr:sp>
      <xdr:nvSpPr>
        <xdr:cNvPr id="80" name="Polygon 94"/>
        <xdr:cNvSpPr>
          <a:spLocks/>
        </xdr:cNvSpPr>
      </xdr:nvSpPr>
      <xdr:spPr>
        <a:xfrm>
          <a:off x="3429000" y="7191375"/>
          <a:ext cx="247650" cy="228600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46</xdr:row>
      <xdr:rowOff>123825</xdr:rowOff>
    </xdr:from>
    <xdr:to>
      <xdr:col>6</xdr:col>
      <xdr:colOff>9525</xdr:colOff>
      <xdr:row>48</xdr:row>
      <xdr:rowOff>133350</xdr:rowOff>
    </xdr:to>
    <xdr:sp>
      <xdr:nvSpPr>
        <xdr:cNvPr id="81" name="Polygon 96"/>
        <xdr:cNvSpPr>
          <a:spLocks/>
        </xdr:cNvSpPr>
      </xdr:nvSpPr>
      <xdr:spPr>
        <a:xfrm>
          <a:off x="3867150" y="7677150"/>
          <a:ext cx="247650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47</xdr:row>
      <xdr:rowOff>95250</xdr:rowOff>
    </xdr:from>
    <xdr:to>
      <xdr:col>6</xdr:col>
      <xdr:colOff>190500</xdr:colOff>
      <xdr:row>49</xdr:row>
      <xdr:rowOff>104775</xdr:rowOff>
    </xdr:to>
    <xdr:sp>
      <xdr:nvSpPr>
        <xdr:cNvPr id="82" name="Polygon 97"/>
        <xdr:cNvSpPr>
          <a:spLocks/>
        </xdr:cNvSpPr>
      </xdr:nvSpPr>
      <xdr:spPr>
        <a:xfrm>
          <a:off x="4048125" y="7810500"/>
          <a:ext cx="247650" cy="333375"/>
        </a:xfrm>
        <a:custGeom>
          <a:pathLst>
            <a:path h="35" w="26">
              <a:moveTo>
                <a:pt x="26" y="0"/>
              </a:moveTo>
              <a:cubicBezTo>
                <a:pt x="20" y="6"/>
                <a:pt x="13" y="14"/>
                <a:pt x="9" y="22"/>
              </a:cubicBezTo>
              <a:cubicBezTo>
                <a:pt x="7" y="26"/>
                <a:pt x="7" y="30"/>
                <a:pt x="3" y="33"/>
              </a:cubicBezTo>
              <a:cubicBezTo>
                <a:pt x="2" y="34"/>
                <a:pt x="0" y="35"/>
                <a:pt x="0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42</xdr:row>
      <xdr:rowOff>57150</xdr:rowOff>
    </xdr:from>
    <xdr:to>
      <xdr:col>6</xdr:col>
      <xdr:colOff>57150</xdr:colOff>
      <xdr:row>44</xdr:row>
      <xdr:rowOff>85725</xdr:rowOff>
    </xdr:to>
    <xdr:sp>
      <xdr:nvSpPr>
        <xdr:cNvPr id="83" name="Line 98"/>
        <xdr:cNvSpPr>
          <a:spLocks/>
        </xdr:cNvSpPr>
      </xdr:nvSpPr>
      <xdr:spPr>
        <a:xfrm>
          <a:off x="4162425" y="71723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42</xdr:row>
      <xdr:rowOff>57150</xdr:rowOff>
    </xdr:from>
    <xdr:to>
      <xdr:col>6</xdr:col>
      <xdr:colOff>57150</xdr:colOff>
      <xdr:row>42</xdr:row>
      <xdr:rowOff>57150</xdr:rowOff>
    </xdr:to>
    <xdr:sp>
      <xdr:nvSpPr>
        <xdr:cNvPr id="84" name="Line 99"/>
        <xdr:cNvSpPr>
          <a:spLocks/>
        </xdr:cNvSpPr>
      </xdr:nvSpPr>
      <xdr:spPr>
        <a:xfrm flipH="1">
          <a:off x="3362325" y="71723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485775</xdr:colOff>
      <xdr:row>54</xdr:row>
      <xdr:rowOff>152400</xdr:rowOff>
    </xdr:from>
    <xdr:ext cx="2095500" cy="600075"/>
    <xdr:sp>
      <xdr:nvSpPr>
        <xdr:cNvPr id="85" name="Rectangle 100"/>
        <xdr:cNvSpPr>
          <a:spLocks/>
        </xdr:cNvSpPr>
      </xdr:nvSpPr>
      <xdr:spPr>
        <a:xfrm>
          <a:off x="781050" y="10420350"/>
          <a:ext cx="20955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714375</xdr:colOff>
      <xdr:row>58</xdr:row>
      <xdr:rowOff>9525</xdr:rowOff>
    </xdr:from>
    <xdr:ext cx="1800225" cy="0"/>
    <xdr:sp>
      <xdr:nvSpPr>
        <xdr:cNvPr id="86" name="Line 101"/>
        <xdr:cNvSpPr>
          <a:spLocks/>
        </xdr:cNvSpPr>
      </xdr:nvSpPr>
      <xdr:spPr>
        <a:xfrm>
          <a:off x="1009650" y="10925175"/>
          <a:ext cx="18002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714375</xdr:colOff>
      <xdr:row>56</xdr:row>
      <xdr:rowOff>85725</xdr:rowOff>
    </xdr:from>
    <xdr:ext cx="152400" cy="247650"/>
    <xdr:sp>
      <xdr:nvSpPr>
        <xdr:cNvPr id="87" name="Line 102"/>
        <xdr:cNvSpPr>
          <a:spLocks/>
        </xdr:cNvSpPr>
      </xdr:nvSpPr>
      <xdr:spPr>
        <a:xfrm flipV="1">
          <a:off x="1009650" y="10677525"/>
          <a:ext cx="152400" cy="2476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56</xdr:row>
      <xdr:rowOff>114300</xdr:rowOff>
    </xdr:from>
    <xdr:ext cx="152400" cy="228600"/>
    <xdr:sp>
      <xdr:nvSpPr>
        <xdr:cNvPr id="88" name="Line 103"/>
        <xdr:cNvSpPr>
          <a:spLocks/>
        </xdr:cNvSpPr>
      </xdr:nvSpPr>
      <xdr:spPr>
        <a:xfrm flipH="1" flipV="1">
          <a:off x="2667000" y="10706100"/>
          <a:ext cx="15240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257175</xdr:colOff>
      <xdr:row>57</xdr:row>
      <xdr:rowOff>76200</xdr:rowOff>
    </xdr:from>
    <xdr:ext cx="76200" cy="76200"/>
    <xdr:sp>
      <xdr:nvSpPr>
        <xdr:cNvPr id="89" name="Oval 104"/>
        <xdr:cNvSpPr>
          <a:spLocks/>
        </xdr:cNvSpPr>
      </xdr:nvSpPr>
      <xdr:spPr>
        <a:xfrm>
          <a:off x="1314450" y="1082992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142875</xdr:colOff>
      <xdr:row>61</xdr:row>
      <xdr:rowOff>47625</xdr:rowOff>
    </xdr:from>
    <xdr:ext cx="276225" cy="285750"/>
    <xdr:sp>
      <xdr:nvSpPr>
        <xdr:cNvPr id="90" name="Oval 106"/>
        <xdr:cNvSpPr>
          <a:spLocks/>
        </xdr:cNvSpPr>
      </xdr:nvSpPr>
      <xdr:spPr>
        <a:xfrm>
          <a:off x="1200150" y="11449050"/>
          <a:ext cx="2762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3</xdr:col>
      <xdr:colOff>190500</xdr:colOff>
      <xdr:row>61</xdr:row>
      <xdr:rowOff>47625</xdr:rowOff>
    </xdr:from>
    <xdr:ext cx="285750" cy="285750"/>
    <xdr:sp>
      <xdr:nvSpPr>
        <xdr:cNvPr id="91" name="Oval 107"/>
        <xdr:cNvSpPr>
          <a:spLocks/>
        </xdr:cNvSpPr>
      </xdr:nvSpPr>
      <xdr:spPr>
        <a:xfrm>
          <a:off x="2009775" y="11449050"/>
          <a:ext cx="2857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2</xdr:col>
      <xdr:colOff>295275</xdr:colOff>
      <xdr:row>58</xdr:row>
      <xdr:rowOff>142875</xdr:rowOff>
    </xdr:from>
    <xdr:ext cx="0" cy="400050"/>
    <xdr:sp>
      <xdr:nvSpPr>
        <xdr:cNvPr id="92" name="Line 109"/>
        <xdr:cNvSpPr>
          <a:spLocks/>
        </xdr:cNvSpPr>
      </xdr:nvSpPr>
      <xdr:spPr>
        <a:xfrm>
          <a:off x="1352550" y="110585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295275</xdr:colOff>
      <xdr:row>58</xdr:row>
      <xdr:rowOff>123825</xdr:rowOff>
    </xdr:from>
    <xdr:ext cx="38100" cy="66675"/>
    <xdr:sp>
      <xdr:nvSpPr>
        <xdr:cNvPr id="93" name="Line 110"/>
        <xdr:cNvSpPr>
          <a:spLocks/>
        </xdr:cNvSpPr>
      </xdr:nvSpPr>
      <xdr:spPr>
        <a:xfrm>
          <a:off x="1352550" y="11039475"/>
          <a:ext cx="38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333375</xdr:colOff>
      <xdr:row>57</xdr:row>
      <xdr:rowOff>76200</xdr:rowOff>
    </xdr:from>
    <xdr:ext cx="0" cy="628650"/>
    <xdr:sp>
      <xdr:nvSpPr>
        <xdr:cNvPr id="94" name="Line 111"/>
        <xdr:cNvSpPr>
          <a:spLocks/>
        </xdr:cNvSpPr>
      </xdr:nvSpPr>
      <xdr:spPr>
        <a:xfrm flipV="1">
          <a:off x="2152650" y="108299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57</xdr:row>
      <xdr:rowOff>104775</xdr:rowOff>
    </xdr:from>
    <xdr:ext cx="114300" cy="123825"/>
    <xdr:sp>
      <xdr:nvSpPr>
        <xdr:cNvPr id="95" name="Line 112"/>
        <xdr:cNvSpPr>
          <a:spLocks/>
        </xdr:cNvSpPr>
      </xdr:nvSpPr>
      <xdr:spPr>
        <a:xfrm>
          <a:off x="2085975" y="10858500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54</xdr:row>
      <xdr:rowOff>85725</xdr:rowOff>
    </xdr:from>
    <xdr:ext cx="285750" cy="285750"/>
    <xdr:sp>
      <xdr:nvSpPr>
        <xdr:cNvPr id="96" name="Oval 113"/>
        <xdr:cNvSpPr>
          <a:spLocks/>
        </xdr:cNvSpPr>
      </xdr:nvSpPr>
      <xdr:spPr>
        <a:xfrm>
          <a:off x="3695700" y="10353675"/>
          <a:ext cx="2857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5</xdr:col>
      <xdr:colOff>371475</xdr:colOff>
      <xdr:row>57</xdr:row>
      <xdr:rowOff>85725</xdr:rowOff>
    </xdr:from>
    <xdr:ext cx="304800" cy="285750"/>
    <xdr:sp>
      <xdr:nvSpPr>
        <xdr:cNvPr id="97" name="Oval 114"/>
        <xdr:cNvSpPr>
          <a:spLocks/>
        </xdr:cNvSpPr>
      </xdr:nvSpPr>
      <xdr:spPr>
        <a:xfrm>
          <a:off x="3714750" y="10839450"/>
          <a:ext cx="3048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8</xdr:col>
      <xdr:colOff>371475</xdr:colOff>
      <xdr:row>55</xdr:row>
      <xdr:rowOff>123825</xdr:rowOff>
    </xdr:from>
    <xdr:ext cx="1209675" cy="0"/>
    <xdr:sp>
      <xdr:nvSpPr>
        <xdr:cNvPr id="98" name="Line 115"/>
        <xdr:cNvSpPr>
          <a:spLocks/>
        </xdr:cNvSpPr>
      </xdr:nvSpPr>
      <xdr:spPr>
        <a:xfrm>
          <a:off x="6219825" y="10553700"/>
          <a:ext cx="12096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54</xdr:row>
      <xdr:rowOff>47625</xdr:rowOff>
    </xdr:from>
    <xdr:ext cx="152400" cy="238125"/>
    <xdr:sp>
      <xdr:nvSpPr>
        <xdr:cNvPr id="99" name="Line 116"/>
        <xdr:cNvSpPr>
          <a:spLocks/>
        </xdr:cNvSpPr>
      </xdr:nvSpPr>
      <xdr:spPr>
        <a:xfrm flipV="1">
          <a:off x="6219825" y="10315575"/>
          <a:ext cx="152400" cy="2381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238125</xdr:colOff>
      <xdr:row>54</xdr:row>
      <xdr:rowOff>66675</xdr:rowOff>
    </xdr:from>
    <xdr:ext cx="152400" cy="219075"/>
    <xdr:sp>
      <xdr:nvSpPr>
        <xdr:cNvPr id="100" name="Line 117"/>
        <xdr:cNvSpPr>
          <a:spLocks/>
        </xdr:cNvSpPr>
      </xdr:nvSpPr>
      <xdr:spPr>
        <a:xfrm flipH="1" flipV="1">
          <a:off x="7286625" y="10334625"/>
          <a:ext cx="152400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58</xdr:row>
      <xdr:rowOff>123825</xdr:rowOff>
    </xdr:from>
    <xdr:ext cx="1209675" cy="0"/>
    <xdr:sp>
      <xdr:nvSpPr>
        <xdr:cNvPr id="101" name="Line 118"/>
        <xdr:cNvSpPr>
          <a:spLocks/>
        </xdr:cNvSpPr>
      </xdr:nvSpPr>
      <xdr:spPr>
        <a:xfrm>
          <a:off x="6219825" y="11039475"/>
          <a:ext cx="12096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371475</xdr:colOff>
      <xdr:row>57</xdr:row>
      <xdr:rowOff>47625</xdr:rowOff>
    </xdr:from>
    <xdr:ext cx="152400" cy="238125"/>
    <xdr:sp>
      <xdr:nvSpPr>
        <xdr:cNvPr id="102" name="Line 119"/>
        <xdr:cNvSpPr>
          <a:spLocks/>
        </xdr:cNvSpPr>
      </xdr:nvSpPr>
      <xdr:spPr>
        <a:xfrm flipV="1">
          <a:off x="6219825" y="10801350"/>
          <a:ext cx="152400" cy="2381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238125</xdr:colOff>
      <xdr:row>57</xdr:row>
      <xdr:rowOff>66675</xdr:rowOff>
    </xdr:from>
    <xdr:ext cx="152400" cy="219075"/>
    <xdr:sp>
      <xdr:nvSpPr>
        <xdr:cNvPr id="103" name="Line 120"/>
        <xdr:cNvSpPr>
          <a:spLocks/>
        </xdr:cNvSpPr>
      </xdr:nvSpPr>
      <xdr:spPr>
        <a:xfrm flipH="1" flipV="1">
          <a:off x="7286625" y="10820400"/>
          <a:ext cx="152400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69</xdr:row>
      <xdr:rowOff>47625</xdr:rowOff>
    </xdr:from>
    <xdr:ext cx="3609975" cy="561975"/>
    <xdr:sp>
      <xdr:nvSpPr>
        <xdr:cNvPr id="104" name="Rectangle 121"/>
        <xdr:cNvSpPr>
          <a:spLocks/>
        </xdr:cNvSpPr>
      </xdr:nvSpPr>
      <xdr:spPr>
        <a:xfrm>
          <a:off x="1962150" y="12763500"/>
          <a:ext cx="36099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69</xdr:row>
      <xdr:rowOff>47625</xdr:rowOff>
    </xdr:from>
    <xdr:ext cx="857250" cy="561975"/>
    <xdr:sp>
      <xdr:nvSpPr>
        <xdr:cNvPr id="105" name="Rectangle 122"/>
        <xdr:cNvSpPr>
          <a:spLocks/>
        </xdr:cNvSpPr>
      </xdr:nvSpPr>
      <xdr:spPr>
        <a:xfrm>
          <a:off x="1095375" y="12763500"/>
          <a:ext cx="8572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876300</xdr:colOff>
      <xdr:row>69</xdr:row>
      <xdr:rowOff>47625</xdr:rowOff>
    </xdr:from>
    <xdr:ext cx="990600" cy="561975"/>
    <xdr:sp>
      <xdr:nvSpPr>
        <xdr:cNvPr id="106" name="Rectangle 123"/>
        <xdr:cNvSpPr>
          <a:spLocks/>
        </xdr:cNvSpPr>
      </xdr:nvSpPr>
      <xdr:spPr>
        <a:xfrm>
          <a:off x="5562600" y="12763500"/>
          <a:ext cx="9906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69</xdr:row>
      <xdr:rowOff>142875</xdr:rowOff>
    </xdr:from>
    <xdr:ext cx="3609975" cy="0"/>
    <xdr:sp>
      <xdr:nvSpPr>
        <xdr:cNvPr id="107" name="Line 124"/>
        <xdr:cNvSpPr>
          <a:spLocks/>
        </xdr:cNvSpPr>
      </xdr:nvSpPr>
      <xdr:spPr>
        <a:xfrm>
          <a:off x="1962150" y="12858750"/>
          <a:ext cx="36099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71</xdr:row>
      <xdr:rowOff>0</xdr:rowOff>
    </xdr:from>
    <xdr:ext cx="3609975" cy="0"/>
    <xdr:sp>
      <xdr:nvSpPr>
        <xdr:cNvPr id="108" name="Line 125"/>
        <xdr:cNvSpPr>
          <a:spLocks/>
        </xdr:cNvSpPr>
      </xdr:nvSpPr>
      <xdr:spPr>
        <a:xfrm>
          <a:off x="1962150" y="13039725"/>
          <a:ext cx="36099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104775</xdr:colOff>
      <xdr:row>70</xdr:row>
      <xdr:rowOff>9525</xdr:rowOff>
    </xdr:from>
    <xdr:ext cx="1400175" cy="0"/>
    <xdr:sp>
      <xdr:nvSpPr>
        <xdr:cNvPr id="109" name="Line 126"/>
        <xdr:cNvSpPr>
          <a:spLocks/>
        </xdr:cNvSpPr>
      </xdr:nvSpPr>
      <xdr:spPr>
        <a:xfrm>
          <a:off x="1162050" y="12887325"/>
          <a:ext cx="1400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104775</xdr:colOff>
      <xdr:row>71</xdr:row>
      <xdr:rowOff>38100</xdr:rowOff>
    </xdr:from>
    <xdr:ext cx="1390650" cy="0"/>
    <xdr:sp>
      <xdr:nvSpPr>
        <xdr:cNvPr id="110" name="Line 127"/>
        <xdr:cNvSpPr>
          <a:spLocks/>
        </xdr:cNvSpPr>
      </xdr:nvSpPr>
      <xdr:spPr>
        <a:xfrm>
          <a:off x="1162050" y="13077825"/>
          <a:ext cx="13906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371475</xdr:colOff>
      <xdr:row>70</xdr:row>
      <xdr:rowOff>9525</xdr:rowOff>
    </xdr:from>
    <xdr:ext cx="1409700" cy="0"/>
    <xdr:sp>
      <xdr:nvSpPr>
        <xdr:cNvPr id="111" name="Line 128"/>
        <xdr:cNvSpPr>
          <a:spLocks/>
        </xdr:cNvSpPr>
      </xdr:nvSpPr>
      <xdr:spPr>
        <a:xfrm>
          <a:off x="5057775" y="12887325"/>
          <a:ext cx="14097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381000</xdr:colOff>
      <xdr:row>71</xdr:row>
      <xdr:rowOff>38100</xdr:rowOff>
    </xdr:from>
    <xdr:ext cx="1419225" cy="0"/>
    <xdr:sp>
      <xdr:nvSpPr>
        <xdr:cNvPr id="112" name="Line 129"/>
        <xdr:cNvSpPr>
          <a:spLocks/>
        </xdr:cNvSpPr>
      </xdr:nvSpPr>
      <xdr:spPr>
        <a:xfrm flipV="1">
          <a:off x="5067300" y="13077825"/>
          <a:ext cx="14192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142875</xdr:colOff>
      <xdr:row>72</xdr:row>
      <xdr:rowOff>47625</xdr:rowOff>
    </xdr:from>
    <xdr:ext cx="3609975" cy="0"/>
    <xdr:sp>
      <xdr:nvSpPr>
        <xdr:cNvPr id="113" name="Line 130"/>
        <xdr:cNvSpPr>
          <a:spLocks/>
        </xdr:cNvSpPr>
      </xdr:nvSpPr>
      <xdr:spPr>
        <a:xfrm>
          <a:off x="1962150" y="13249275"/>
          <a:ext cx="36099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142875</xdr:colOff>
      <xdr:row>72</xdr:row>
      <xdr:rowOff>9525</xdr:rowOff>
    </xdr:from>
    <xdr:ext cx="1352550" cy="0"/>
    <xdr:sp>
      <xdr:nvSpPr>
        <xdr:cNvPr id="114" name="Line 131"/>
        <xdr:cNvSpPr>
          <a:spLocks/>
        </xdr:cNvSpPr>
      </xdr:nvSpPr>
      <xdr:spPr>
        <a:xfrm>
          <a:off x="1200150" y="13211175"/>
          <a:ext cx="13525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409575</xdr:colOff>
      <xdr:row>72</xdr:row>
      <xdr:rowOff>9525</xdr:rowOff>
    </xdr:from>
    <xdr:ext cx="1419225" cy="0"/>
    <xdr:sp>
      <xdr:nvSpPr>
        <xdr:cNvPr id="115" name="Line 132"/>
        <xdr:cNvSpPr>
          <a:spLocks/>
        </xdr:cNvSpPr>
      </xdr:nvSpPr>
      <xdr:spPr>
        <a:xfrm>
          <a:off x="5095875" y="13211175"/>
          <a:ext cx="14192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638175</xdr:colOff>
      <xdr:row>69</xdr:row>
      <xdr:rowOff>104775</xdr:rowOff>
    </xdr:from>
    <xdr:ext cx="0" cy="476250"/>
    <xdr:sp>
      <xdr:nvSpPr>
        <xdr:cNvPr id="116" name="Line 133"/>
        <xdr:cNvSpPr>
          <a:spLocks/>
        </xdr:cNvSpPr>
      </xdr:nvSpPr>
      <xdr:spPr>
        <a:xfrm>
          <a:off x="3981450" y="12820650"/>
          <a:ext cx="0" cy="476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638175</xdr:colOff>
      <xdr:row>69</xdr:row>
      <xdr:rowOff>114300</xdr:rowOff>
    </xdr:from>
    <xdr:ext cx="0" cy="85725"/>
    <xdr:sp>
      <xdr:nvSpPr>
        <xdr:cNvPr id="117" name="Line 134"/>
        <xdr:cNvSpPr>
          <a:spLocks/>
        </xdr:cNvSpPr>
      </xdr:nvSpPr>
      <xdr:spPr>
        <a:xfrm>
          <a:off x="3981450" y="12830175"/>
          <a:ext cx="0" cy="857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638175</xdr:colOff>
      <xdr:row>72</xdr:row>
      <xdr:rowOff>0</xdr:rowOff>
    </xdr:from>
    <xdr:ext cx="0" cy="95250"/>
    <xdr:sp>
      <xdr:nvSpPr>
        <xdr:cNvPr id="118" name="Line 135"/>
        <xdr:cNvSpPr>
          <a:spLocks/>
        </xdr:cNvSpPr>
      </xdr:nvSpPr>
      <xdr:spPr>
        <a:xfrm flipV="1">
          <a:off x="3981450" y="13201650"/>
          <a:ext cx="0" cy="95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523875</xdr:colOff>
      <xdr:row>69</xdr:row>
      <xdr:rowOff>85725</xdr:rowOff>
    </xdr:from>
    <xdr:ext cx="0" cy="742950"/>
    <xdr:sp>
      <xdr:nvSpPr>
        <xdr:cNvPr id="119" name="Line 136"/>
        <xdr:cNvSpPr>
          <a:spLocks/>
        </xdr:cNvSpPr>
      </xdr:nvSpPr>
      <xdr:spPr>
        <a:xfrm flipV="1">
          <a:off x="1581150" y="128016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69</xdr:row>
      <xdr:rowOff>123825</xdr:rowOff>
    </xdr:from>
    <xdr:ext cx="114300" cy="123825"/>
    <xdr:sp>
      <xdr:nvSpPr>
        <xdr:cNvPr id="120" name="Line 137"/>
        <xdr:cNvSpPr>
          <a:spLocks/>
        </xdr:cNvSpPr>
      </xdr:nvSpPr>
      <xdr:spPr>
        <a:xfrm>
          <a:off x="1504950" y="12839700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70</xdr:row>
      <xdr:rowOff>123825</xdr:rowOff>
    </xdr:from>
    <xdr:ext cx="114300" cy="123825"/>
    <xdr:sp>
      <xdr:nvSpPr>
        <xdr:cNvPr id="121" name="Line 138"/>
        <xdr:cNvSpPr>
          <a:spLocks/>
        </xdr:cNvSpPr>
      </xdr:nvSpPr>
      <xdr:spPr>
        <a:xfrm>
          <a:off x="1504950" y="13001625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447675</xdr:colOff>
      <xdr:row>71</xdr:row>
      <xdr:rowOff>123825</xdr:rowOff>
    </xdr:from>
    <xdr:ext cx="114300" cy="123825"/>
    <xdr:sp>
      <xdr:nvSpPr>
        <xdr:cNvPr id="122" name="Line 139"/>
        <xdr:cNvSpPr>
          <a:spLocks/>
        </xdr:cNvSpPr>
      </xdr:nvSpPr>
      <xdr:spPr>
        <a:xfrm>
          <a:off x="1504950" y="13163550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371475</xdr:colOff>
      <xdr:row>73</xdr:row>
      <xdr:rowOff>123825</xdr:rowOff>
    </xdr:from>
    <xdr:ext cx="276225" cy="285750"/>
    <xdr:sp>
      <xdr:nvSpPr>
        <xdr:cNvPr id="123" name="Oval 140"/>
        <xdr:cNvSpPr>
          <a:spLocks/>
        </xdr:cNvSpPr>
      </xdr:nvSpPr>
      <xdr:spPr>
        <a:xfrm>
          <a:off x="1428750" y="13487400"/>
          <a:ext cx="2762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85725</xdr:colOff>
      <xdr:row>69</xdr:row>
      <xdr:rowOff>123825</xdr:rowOff>
    </xdr:from>
    <xdr:ext cx="0" cy="733425"/>
    <xdr:sp>
      <xdr:nvSpPr>
        <xdr:cNvPr id="124" name="Line 141"/>
        <xdr:cNvSpPr>
          <a:spLocks/>
        </xdr:cNvSpPr>
      </xdr:nvSpPr>
      <xdr:spPr>
        <a:xfrm flipV="1">
          <a:off x="2667000" y="128397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69</xdr:row>
      <xdr:rowOff>85725</xdr:rowOff>
    </xdr:from>
    <xdr:ext cx="114300" cy="123825"/>
    <xdr:sp>
      <xdr:nvSpPr>
        <xdr:cNvPr id="125" name="Line 142"/>
        <xdr:cNvSpPr>
          <a:spLocks/>
        </xdr:cNvSpPr>
      </xdr:nvSpPr>
      <xdr:spPr>
        <a:xfrm>
          <a:off x="2609850" y="12801600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70</xdr:row>
      <xdr:rowOff>85725</xdr:rowOff>
    </xdr:from>
    <xdr:ext cx="114300" cy="123825"/>
    <xdr:sp>
      <xdr:nvSpPr>
        <xdr:cNvPr id="126" name="Line 143"/>
        <xdr:cNvSpPr>
          <a:spLocks/>
        </xdr:cNvSpPr>
      </xdr:nvSpPr>
      <xdr:spPr>
        <a:xfrm>
          <a:off x="2609850" y="12963525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28575</xdr:colOff>
      <xdr:row>71</xdr:row>
      <xdr:rowOff>152400</xdr:rowOff>
    </xdr:from>
    <xdr:ext cx="114300" cy="123825"/>
    <xdr:sp>
      <xdr:nvSpPr>
        <xdr:cNvPr id="127" name="Line 144"/>
        <xdr:cNvSpPr>
          <a:spLocks/>
        </xdr:cNvSpPr>
      </xdr:nvSpPr>
      <xdr:spPr>
        <a:xfrm>
          <a:off x="2609850" y="13192125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74</xdr:row>
      <xdr:rowOff>9525</xdr:rowOff>
    </xdr:from>
    <xdr:ext cx="276225" cy="285750"/>
    <xdr:sp>
      <xdr:nvSpPr>
        <xdr:cNvPr id="128" name="Oval 145"/>
        <xdr:cNvSpPr>
          <a:spLocks/>
        </xdr:cNvSpPr>
      </xdr:nvSpPr>
      <xdr:spPr>
        <a:xfrm>
          <a:off x="2533650" y="13535025"/>
          <a:ext cx="2762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3</xdr:col>
      <xdr:colOff>142875</xdr:colOff>
      <xdr:row>73</xdr:row>
      <xdr:rowOff>85725</xdr:rowOff>
    </xdr:from>
    <xdr:ext cx="3600450" cy="0"/>
    <xdr:sp>
      <xdr:nvSpPr>
        <xdr:cNvPr id="129" name="Line 146"/>
        <xdr:cNvSpPr>
          <a:spLocks/>
        </xdr:cNvSpPr>
      </xdr:nvSpPr>
      <xdr:spPr>
        <a:xfrm>
          <a:off x="1962150" y="13449300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638175</xdr:colOff>
      <xdr:row>71</xdr:row>
      <xdr:rowOff>0</xdr:rowOff>
    </xdr:from>
    <xdr:ext cx="0" cy="133350"/>
    <xdr:sp>
      <xdr:nvSpPr>
        <xdr:cNvPr id="130" name="Line 147"/>
        <xdr:cNvSpPr>
          <a:spLocks/>
        </xdr:cNvSpPr>
      </xdr:nvSpPr>
      <xdr:spPr>
        <a:xfrm>
          <a:off x="3981450" y="130397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638175</xdr:colOff>
      <xdr:row>71</xdr:row>
      <xdr:rowOff>76200</xdr:rowOff>
    </xdr:from>
    <xdr:ext cx="114300" cy="0"/>
    <xdr:sp>
      <xdr:nvSpPr>
        <xdr:cNvPr id="131" name="Line 148"/>
        <xdr:cNvSpPr>
          <a:spLocks/>
        </xdr:cNvSpPr>
      </xdr:nvSpPr>
      <xdr:spPr>
        <a:xfrm>
          <a:off x="3981450" y="13115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752475</xdr:colOff>
      <xdr:row>71</xdr:row>
      <xdr:rowOff>76200</xdr:rowOff>
    </xdr:from>
    <xdr:ext cx="0" cy="514350"/>
    <xdr:sp>
      <xdr:nvSpPr>
        <xdr:cNvPr id="132" name="Line 149"/>
        <xdr:cNvSpPr>
          <a:spLocks/>
        </xdr:cNvSpPr>
      </xdr:nvSpPr>
      <xdr:spPr>
        <a:xfrm flipH="1">
          <a:off x="4095750" y="131159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638175</xdr:colOff>
      <xdr:row>74</xdr:row>
      <xdr:rowOff>38100</xdr:rowOff>
    </xdr:from>
    <xdr:ext cx="257175" cy="285750"/>
    <xdr:sp>
      <xdr:nvSpPr>
        <xdr:cNvPr id="133" name="Oval 150"/>
        <xdr:cNvSpPr>
          <a:spLocks/>
        </xdr:cNvSpPr>
      </xdr:nvSpPr>
      <xdr:spPr>
        <a:xfrm>
          <a:off x="3981450" y="13563600"/>
          <a:ext cx="2571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8</xdr:col>
      <xdr:colOff>180975</xdr:colOff>
      <xdr:row>69</xdr:row>
      <xdr:rowOff>85725</xdr:rowOff>
    </xdr:from>
    <xdr:ext cx="0" cy="742950"/>
    <xdr:sp>
      <xdr:nvSpPr>
        <xdr:cNvPr id="134" name="Line 151"/>
        <xdr:cNvSpPr>
          <a:spLocks/>
        </xdr:cNvSpPr>
      </xdr:nvSpPr>
      <xdr:spPr>
        <a:xfrm flipV="1">
          <a:off x="6029325" y="128016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123825</xdr:colOff>
      <xdr:row>69</xdr:row>
      <xdr:rowOff>123825</xdr:rowOff>
    </xdr:from>
    <xdr:ext cx="114300" cy="123825"/>
    <xdr:sp>
      <xdr:nvSpPr>
        <xdr:cNvPr id="135" name="Line 152"/>
        <xdr:cNvSpPr>
          <a:spLocks/>
        </xdr:cNvSpPr>
      </xdr:nvSpPr>
      <xdr:spPr>
        <a:xfrm>
          <a:off x="5972175" y="12839700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123825</xdr:colOff>
      <xdr:row>70</xdr:row>
      <xdr:rowOff>123825</xdr:rowOff>
    </xdr:from>
    <xdr:ext cx="114300" cy="123825"/>
    <xdr:sp>
      <xdr:nvSpPr>
        <xdr:cNvPr id="136" name="Line 153"/>
        <xdr:cNvSpPr>
          <a:spLocks/>
        </xdr:cNvSpPr>
      </xdr:nvSpPr>
      <xdr:spPr>
        <a:xfrm>
          <a:off x="5972175" y="13001625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123825</xdr:colOff>
      <xdr:row>71</xdr:row>
      <xdr:rowOff>123825</xdr:rowOff>
    </xdr:from>
    <xdr:ext cx="114300" cy="123825"/>
    <xdr:sp>
      <xdr:nvSpPr>
        <xdr:cNvPr id="137" name="Line 154"/>
        <xdr:cNvSpPr>
          <a:spLocks/>
        </xdr:cNvSpPr>
      </xdr:nvSpPr>
      <xdr:spPr>
        <a:xfrm>
          <a:off x="5972175" y="13163550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28575</xdr:colOff>
      <xdr:row>73</xdr:row>
      <xdr:rowOff>123825</xdr:rowOff>
    </xdr:from>
    <xdr:ext cx="333375" cy="285750"/>
    <xdr:sp>
      <xdr:nvSpPr>
        <xdr:cNvPr id="138" name="Oval 155"/>
        <xdr:cNvSpPr>
          <a:spLocks/>
        </xdr:cNvSpPr>
      </xdr:nvSpPr>
      <xdr:spPr>
        <a:xfrm>
          <a:off x="5876925" y="13487400"/>
          <a:ext cx="333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5</xdr:col>
      <xdr:colOff>714375</xdr:colOff>
      <xdr:row>73</xdr:row>
      <xdr:rowOff>47625</xdr:rowOff>
    </xdr:from>
    <xdr:ext cx="57150" cy="57150"/>
    <xdr:sp>
      <xdr:nvSpPr>
        <xdr:cNvPr id="139" name="Oval 156"/>
        <xdr:cNvSpPr>
          <a:spLocks/>
        </xdr:cNvSpPr>
      </xdr:nvSpPr>
      <xdr:spPr>
        <a:xfrm>
          <a:off x="4057650" y="13411200"/>
          <a:ext cx="57150" cy="571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77</xdr:row>
      <xdr:rowOff>85725</xdr:rowOff>
    </xdr:from>
    <xdr:ext cx="276225" cy="285750"/>
    <xdr:sp>
      <xdr:nvSpPr>
        <xdr:cNvPr id="140" name="Oval 157"/>
        <xdr:cNvSpPr>
          <a:spLocks/>
        </xdr:cNvSpPr>
      </xdr:nvSpPr>
      <xdr:spPr>
        <a:xfrm>
          <a:off x="3038475" y="14097000"/>
          <a:ext cx="2762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428625</xdr:colOff>
      <xdr:row>80</xdr:row>
      <xdr:rowOff>85725</xdr:rowOff>
    </xdr:from>
    <xdr:ext cx="295275" cy="285750"/>
    <xdr:sp>
      <xdr:nvSpPr>
        <xdr:cNvPr id="141" name="Oval 158"/>
        <xdr:cNvSpPr>
          <a:spLocks/>
        </xdr:cNvSpPr>
      </xdr:nvSpPr>
      <xdr:spPr>
        <a:xfrm>
          <a:off x="3009900" y="14582775"/>
          <a:ext cx="2952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8</xdr:col>
      <xdr:colOff>104775</xdr:colOff>
      <xdr:row>78</xdr:row>
      <xdr:rowOff>104775</xdr:rowOff>
    </xdr:from>
    <xdr:ext cx="1133475" cy="0"/>
    <xdr:sp>
      <xdr:nvSpPr>
        <xdr:cNvPr id="142" name="Line 159"/>
        <xdr:cNvSpPr>
          <a:spLocks/>
        </xdr:cNvSpPr>
      </xdr:nvSpPr>
      <xdr:spPr>
        <a:xfrm>
          <a:off x="5953125" y="14277975"/>
          <a:ext cx="11334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200025</xdr:colOff>
      <xdr:row>81</xdr:row>
      <xdr:rowOff>114300</xdr:rowOff>
    </xdr:from>
    <xdr:ext cx="1209675" cy="0"/>
    <xdr:sp>
      <xdr:nvSpPr>
        <xdr:cNvPr id="143" name="Line 162"/>
        <xdr:cNvSpPr>
          <a:spLocks/>
        </xdr:cNvSpPr>
      </xdr:nvSpPr>
      <xdr:spPr>
        <a:xfrm>
          <a:off x="6048375" y="14773275"/>
          <a:ext cx="12096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238125</xdr:colOff>
      <xdr:row>77</xdr:row>
      <xdr:rowOff>123825</xdr:rowOff>
    </xdr:from>
    <xdr:ext cx="0" cy="238125"/>
    <xdr:sp>
      <xdr:nvSpPr>
        <xdr:cNvPr id="144" name="Line 165"/>
        <xdr:cNvSpPr>
          <a:spLocks/>
        </xdr:cNvSpPr>
      </xdr:nvSpPr>
      <xdr:spPr>
        <a:xfrm>
          <a:off x="6543675" y="14135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77</xdr:row>
      <xdr:rowOff>104775</xdr:rowOff>
    </xdr:from>
    <xdr:ext cx="66675" cy="57150"/>
    <xdr:sp>
      <xdr:nvSpPr>
        <xdr:cNvPr id="145" name="Line 166"/>
        <xdr:cNvSpPr>
          <a:spLocks/>
        </xdr:cNvSpPr>
      </xdr:nvSpPr>
      <xdr:spPr>
        <a:xfrm flipH="1">
          <a:off x="6467475" y="141160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78</xdr:row>
      <xdr:rowOff>104775</xdr:rowOff>
    </xdr:from>
    <xdr:ext cx="66675" cy="57150"/>
    <xdr:sp>
      <xdr:nvSpPr>
        <xdr:cNvPr id="146" name="Line 167"/>
        <xdr:cNvSpPr>
          <a:spLocks/>
        </xdr:cNvSpPr>
      </xdr:nvSpPr>
      <xdr:spPr>
        <a:xfrm flipH="1">
          <a:off x="6467475" y="142779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78</xdr:row>
      <xdr:rowOff>28575</xdr:rowOff>
    </xdr:from>
    <xdr:ext cx="66675" cy="57150"/>
    <xdr:sp>
      <xdr:nvSpPr>
        <xdr:cNvPr id="147" name="Line 168"/>
        <xdr:cNvSpPr>
          <a:spLocks/>
        </xdr:cNvSpPr>
      </xdr:nvSpPr>
      <xdr:spPr>
        <a:xfrm flipH="1">
          <a:off x="6467475" y="142017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161925</xdr:colOff>
      <xdr:row>79</xdr:row>
      <xdr:rowOff>28575</xdr:rowOff>
    </xdr:from>
    <xdr:ext cx="66675" cy="57150"/>
    <xdr:sp>
      <xdr:nvSpPr>
        <xdr:cNvPr id="148" name="Line 169"/>
        <xdr:cNvSpPr>
          <a:spLocks/>
        </xdr:cNvSpPr>
      </xdr:nvSpPr>
      <xdr:spPr>
        <a:xfrm flipH="1">
          <a:off x="6467475" y="1436370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466725</xdr:colOff>
      <xdr:row>84</xdr:row>
      <xdr:rowOff>85725</xdr:rowOff>
    </xdr:from>
    <xdr:ext cx="266700" cy="285750"/>
    <xdr:sp>
      <xdr:nvSpPr>
        <xdr:cNvPr id="149" name="Oval 170"/>
        <xdr:cNvSpPr>
          <a:spLocks/>
        </xdr:cNvSpPr>
      </xdr:nvSpPr>
      <xdr:spPr>
        <a:xfrm>
          <a:off x="3048000" y="15230475"/>
          <a:ext cx="2667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9</xdr:col>
      <xdr:colOff>76200</xdr:colOff>
      <xdr:row>84</xdr:row>
      <xdr:rowOff>66675</xdr:rowOff>
    </xdr:from>
    <xdr:ext cx="466725" cy="447675"/>
    <xdr:sp>
      <xdr:nvSpPr>
        <xdr:cNvPr id="150" name="Rectangle 172"/>
        <xdr:cNvSpPr>
          <a:spLocks/>
        </xdr:cNvSpPr>
      </xdr:nvSpPr>
      <xdr:spPr>
        <a:xfrm>
          <a:off x="6381750" y="15211425"/>
          <a:ext cx="466725" cy="4476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104775</xdr:colOff>
      <xdr:row>84</xdr:row>
      <xdr:rowOff>123825</xdr:rowOff>
    </xdr:from>
    <xdr:ext cx="76200" cy="57150"/>
    <xdr:sp>
      <xdr:nvSpPr>
        <xdr:cNvPr id="151" name="Line 173"/>
        <xdr:cNvSpPr>
          <a:spLocks/>
        </xdr:cNvSpPr>
      </xdr:nvSpPr>
      <xdr:spPr>
        <a:xfrm>
          <a:off x="6410325" y="15268575"/>
          <a:ext cx="76200" cy="57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152400</xdr:colOff>
      <xdr:row>84</xdr:row>
      <xdr:rowOff>66675</xdr:rowOff>
    </xdr:from>
    <xdr:ext cx="76200" cy="57150"/>
    <xdr:sp>
      <xdr:nvSpPr>
        <xdr:cNvPr id="152" name="Line 174"/>
        <xdr:cNvSpPr>
          <a:spLocks/>
        </xdr:cNvSpPr>
      </xdr:nvSpPr>
      <xdr:spPr>
        <a:xfrm>
          <a:off x="6457950" y="15211425"/>
          <a:ext cx="76200" cy="57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190500</xdr:colOff>
      <xdr:row>5</xdr:row>
      <xdr:rowOff>114300</xdr:rowOff>
    </xdr:from>
    <xdr:to>
      <xdr:col>15</xdr:col>
      <xdr:colOff>695325</xdr:colOff>
      <xdr:row>16</xdr:row>
      <xdr:rowOff>47625</xdr:rowOff>
    </xdr:to>
    <xdr:grpSp>
      <xdr:nvGrpSpPr>
        <xdr:cNvPr id="153" name="Group 240"/>
        <xdr:cNvGrpSpPr>
          <a:grpSpLocks/>
        </xdr:cNvGrpSpPr>
      </xdr:nvGrpSpPr>
      <xdr:grpSpPr>
        <a:xfrm>
          <a:off x="8086725" y="1028700"/>
          <a:ext cx="2686050" cy="1714500"/>
          <a:chOff x="940" y="108"/>
          <a:chExt cx="398" cy="180"/>
        </a:xfrm>
        <a:solidFill>
          <a:srgbClr val="FFFFFF"/>
        </a:solidFill>
      </xdr:grpSpPr>
      <xdr:grpSp>
        <xdr:nvGrpSpPr>
          <xdr:cNvPr id="154" name="Group 235"/>
          <xdr:cNvGrpSpPr>
            <a:grpSpLocks/>
          </xdr:cNvGrpSpPr>
        </xdr:nvGrpSpPr>
        <xdr:grpSpPr>
          <a:xfrm>
            <a:off x="940" y="158"/>
            <a:ext cx="350" cy="124"/>
            <a:chOff x="940" y="158"/>
            <a:chExt cx="353" cy="124"/>
          </a:xfrm>
          <a:solidFill>
            <a:srgbClr val="FFFFFF"/>
          </a:solidFill>
        </xdr:grpSpPr>
        <xdr:grpSp>
          <xdr:nvGrpSpPr>
            <xdr:cNvPr id="155" name="Group 226"/>
            <xdr:cNvGrpSpPr>
              <a:grpSpLocks/>
            </xdr:cNvGrpSpPr>
          </xdr:nvGrpSpPr>
          <xdr:grpSpPr>
            <a:xfrm>
              <a:off x="940" y="158"/>
              <a:ext cx="353" cy="124"/>
              <a:chOff x="940" y="158"/>
              <a:chExt cx="353" cy="124"/>
            </a:xfrm>
            <a:solidFill>
              <a:srgbClr val="FFFFFF"/>
            </a:solidFill>
          </xdr:grpSpPr>
          <xdr:grpSp>
            <xdr:nvGrpSpPr>
              <xdr:cNvPr id="156" name="Group 216"/>
              <xdr:cNvGrpSpPr>
                <a:grpSpLocks/>
              </xdr:cNvGrpSpPr>
            </xdr:nvGrpSpPr>
            <xdr:grpSpPr>
              <a:xfrm>
                <a:off x="941" y="158"/>
                <a:ext cx="352" cy="69"/>
                <a:chOff x="941" y="158"/>
                <a:chExt cx="352" cy="69"/>
              </a:xfrm>
              <a:solidFill>
                <a:srgbClr val="FFFFFF"/>
              </a:solidFill>
            </xdr:grpSpPr>
            <xdr:sp>
              <xdr:nvSpPr>
                <xdr:cNvPr id="157" name="Line 198"/>
                <xdr:cNvSpPr>
                  <a:spLocks/>
                </xdr:cNvSpPr>
              </xdr:nvSpPr>
              <xdr:spPr>
                <a:xfrm flipH="1">
                  <a:off x="941" y="159"/>
                  <a:ext cx="178" cy="6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8" name="Line 199"/>
                <xdr:cNvSpPr>
                  <a:spLocks/>
                </xdr:cNvSpPr>
              </xdr:nvSpPr>
              <xdr:spPr>
                <a:xfrm>
                  <a:off x="1120" y="158"/>
                  <a:ext cx="172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9" name="Line 200"/>
                <xdr:cNvSpPr>
                  <a:spLocks/>
                </xdr:cNvSpPr>
              </xdr:nvSpPr>
              <xdr:spPr>
                <a:xfrm>
                  <a:off x="941" y="227"/>
                  <a:ext cx="16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0" name="Line 201"/>
                <xdr:cNvSpPr>
                  <a:spLocks/>
                </xdr:cNvSpPr>
              </xdr:nvSpPr>
              <xdr:spPr>
                <a:xfrm flipH="1">
                  <a:off x="1111" y="158"/>
                  <a:ext cx="182" cy="6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61" name="Line 202"/>
              <xdr:cNvSpPr>
                <a:spLocks/>
              </xdr:cNvSpPr>
            </xdr:nvSpPr>
            <xdr:spPr>
              <a:xfrm>
                <a:off x="1042" y="209"/>
                <a:ext cx="6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" name="Line 205"/>
              <xdr:cNvSpPr>
                <a:spLocks/>
              </xdr:cNvSpPr>
            </xdr:nvSpPr>
            <xdr:spPr>
              <a:xfrm flipV="1">
                <a:off x="1105" y="179"/>
                <a:ext cx="82" cy="3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163" name="Group 207"/>
              <xdr:cNvGrpSpPr>
                <a:grpSpLocks/>
              </xdr:cNvGrpSpPr>
            </xdr:nvGrpSpPr>
            <xdr:grpSpPr>
              <a:xfrm>
                <a:off x="1040" y="173"/>
                <a:ext cx="147" cy="31"/>
                <a:chOff x="1040" y="178"/>
                <a:chExt cx="147" cy="31"/>
              </a:xfrm>
              <a:solidFill>
                <a:srgbClr val="FFFFFF"/>
              </a:solidFill>
            </xdr:grpSpPr>
            <xdr:sp>
              <xdr:nvSpPr>
                <xdr:cNvPr id="164" name="Line 208"/>
                <xdr:cNvSpPr>
                  <a:spLocks/>
                </xdr:cNvSpPr>
              </xdr:nvSpPr>
              <xdr:spPr>
                <a:xfrm>
                  <a:off x="1042" y="209"/>
                  <a:ext cx="62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5" name="Line 209"/>
                <xdr:cNvSpPr>
                  <a:spLocks/>
                </xdr:cNvSpPr>
              </xdr:nvSpPr>
              <xdr:spPr>
                <a:xfrm flipV="1">
                  <a:off x="1040" y="178"/>
                  <a:ext cx="86" cy="31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6" name="Line 210"/>
                <xdr:cNvSpPr>
                  <a:spLocks/>
                </xdr:cNvSpPr>
              </xdr:nvSpPr>
              <xdr:spPr>
                <a:xfrm>
                  <a:off x="1124" y="178"/>
                  <a:ext cx="62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7" name="Line 211"/>
                <xdr:cNvSpPr>
                  <a:spLocks/>
                </xdr:cNvSpPr>
              </xdr:nvSpPr>
              <xdr:spPr>
                <a:xfrm flipV="1">
                  <a:off x="1105" y="179"/>
                  <a:ext cx="82" cy="3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68" name="Line 213"/>
              <xdr:cNvSpPr>
                <a:spLocks/>
              </xdr:cNvSpPr>
            </xdr:nvSpPr>
            <xdr:spPr>
              <a:xfrm flipH="1" flipV="1">
                <a:off x="1041" y="204"/>
                <a:ext cx="0" cy="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" name="Line 214"/>
              <xdr:cNvSpPr>
                <a:spLocks/>
              </xdr:cNvSpPr>
            </xdr:nvSpPr>
            <xdr:spPr>
              <a:xfrm>
                <a:off x="1106" y="204"/>
                <a:ext cx="0" cy="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" name="Line 215"/>
              <xdr:cNvSpPr>
                <a:spLocks/>
              </xdr:cNvSpPr>
            </xdr:nvSpPr>
            <xdr:spPr>
              <a:xfrm>
                <a:off x="1187" y="174"/>
                <a:ext cx="0" cy="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" name="Line 220"/>
              <xdr:cNvSpPr>
                <a:spLocks/>
              </xdr:cNvSpPr>
            </xdr:nvSpPr>
            <xdr:spPr>
              <a:xfrm>
                <a:off x="940" y="282"/>
                <a:ext cx="16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" name="Line 221"/>
              <xdr:cNvSpPr>
                <a:spLocks/>
              </xdr:cNvSpPr>
            </xdr:nvSpPr>
            <xdr:spPr>
              <a:xfrm flipH="1">
                <a:off x="1110" y="213"/>
                <a:ext cx="182" cy="69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" name="Line 222"/>
              <xdr:cNvSpPr>
                <a:spLocks/>
              </xdr:cNvSpPr>
            </xdr:nvSpPr>
            <xdr:spPr>
              <a:xfrm>
                <a:off x="940" y="227"/>
                <a:ext cx="0" cy="5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" name="Line 223"/>
              <xdr:cNvSpPr>
                <a:spLocks/>
              </xdr:cNvSpPr>
            </xdr:nvSpPr>
            <xdr:spPr>
              <a:xfrm>
                <a:off x="1110" y="227"/>
                <a:ext cx="0" cy="5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" name="Line 224"/>
              <xdr:cNvSpPr>
                <a:spLocks/>
              </xdr:cNvSpPr>
            </xdr:nvSpPr>
            <xdr:spPr>
              <a:xfrm>
                <a:off x="1292" y="158"/>
                <a:ext cx="0" cy="5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76" name="Line 227"/>
            <xdr:cNvSpPr>
              <a:spLocks/>
            </xdr:cNvSpPr>
          </xdr:nvSpPr>
          <xdr:spPr>
            <a:xfrm>
              <a:off x="1076" y="192"/>
              <a:ext cx="0" cy="8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Line 228"/>
            <xdr:cNvSpPr>
              <a:spLocks/>
            </xdr:cNvSpPr>
          </xdr:nvSpPr>
          <xdr:spPr>
            <a:xfrm>
              <a:off x="1100" y="193"/>
              <a:ext cx="0" cy="8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229"/>
            <xdr:cNvSpPr>
              <a:spLocks/>
            </xdr:cNvSpPr>
          </xdr:nvSpPr>
          <xdr:spPr>
            <a:xfrm>
              <a:off x="1117" y="187"/>
              <a:ext cx="0" cy="8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230"/>
            <xdr:cNvSpPr>
              <a:spLocks/>
            </xdr:cNvSpPr>
          </xdr:nvSpPr>
          <xdr:spPr>
            <a:xfrm>
              <a:off x="1092" y="187"/>
              <a:ext cx="0" cy="8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Line 231"/>
            <xdr:cNvSpPr>
              <a:spLocks/>
            </xdr:cNvSpPr>
          </xdr:nvSpPr>
          <xdr:spPr>
            <a:xfrm>
              <a:off x="1135" y="181"/>
              <a:ext cx="0" cy="8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" name="Line 232"/>
            <xdr:cNvSpPr>
              <a:spLocks/>
            </xdr:cNvSpPr>
          </xdr:nvSpPr>
          <xdr:spPr>
            <a:xfrm>
              <a:off x="1110" y="181"/>
              <a:ext cx="0" cy="8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Line 233"/>
            <xdr:cNvSpPr>
              <a:spLocks/>
            </xdr:cNvSpPr>
          </xdr:nvSpPr>
          <xdr:spPr>
            <a:xfrm>
              <a:off x="1150" y="175"/>
              <a:ext cx="0" cy="8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Line 234"/>
            <xdr:cNvSpPr>
              <a:spLocks/>
            </xdr:cNvSpPr>
          </xdr:nvSpPr>
          <xdr:spPr>
            <a:xfrm>
              <a:off x="1127" y="175"/>
              <a:ext cx="0" cy="8"/>
            </a:xfrm>
            <a:prstGeom prst="line">
              <a:avLst/>
            </a:prstGeom>
            <a:noFill/>
            <a:ln w="571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4" name="Line 236"/>
          <xdr:cNvSpPr>
            <a:spLocks/>
          </xdr:cNvSpPr>
        </xdr:nvSpPr>
        <xdr:spPr>
          <a:xfrm flipH="1" flipV="1">
            <a:off x="1104" y="123"/>
            <a:ext cx="2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237"/>
          <xdr:cNvSpPr>
            <a:spLocks/>
          </xdr:cNvSpPr>
        </xdr:nvSpPr>
        <xdr:spPr>
          <a:xfrm>
            <a:off x="1125" y="203"/>
            <a:ext cx="39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TextBox 238"/>
          <xdr:cNvSpPr txBox="1">
            <a:spLocks noChangeArrowheads="1"/>
          </xdr:cNvSpPr>
        </xdr:nvSpPr>
        <xdr:spPr>
          <a:xfrm>
            <a:off x="1171" y="266"/>
            <a:ext cx="6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platine</a:t>
            </a:r>
          </a:p>
        </xdr:txBody>
      </xdr:sp>
      <xdr:sp>
        <xdr:nvSpPr>
          <xdr:cNvPr id="187" name="TextBox 239"/>
          <xdr:cNvSpPr txBox="1">
            <a:spLocks noChangeArrowheads="1"/>
          </xdr:cNvSpPr>
        </xdr:nvSpPr>
        <xdr:spPr>
          <a:xfrm>
            <a:off x="961" y="108"/>
            <a:ext cx="37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Scellement de la platine en pied: 8 boulons M20</a:t>
            </a:r>
          </a:p>
        </xdr:txBody>
      </xdr:sp>
    </xdr:grpSp>
    <xdr:clientData/>
  </xdr:twoCellAnchor>
  <xdr:twoCellAnchor>
    <xdr:from>
      <xdr:col>5</xdr:col>
      <xdr:colOff>361950</xdr:colOff>
      <xdr:row>38</xdr:row>
      <xdr:rowOff>28575</xdr:rowOff>
    </xdr:from>
    <xdr:to>
      <xdr:col>5</xdr:col>
      <xdr:colOff>514350</xdr:colOff>
      <xdr:row>38</xdr:row>
      <xdr:rowOff>85725</xdr:rowOff>
    </xdr:to>
    <xdr:sp>
      <xdr:nvSpPr>
        <xdr:cNvPr id="188" name="Line 243"/>
        <xdr:cNvSpPr>
          <a:spLocks/>
        </xdr:cNvSpPr>
      </xdr:nvSpPr>
      <xdr:spPr>
        <a:xfrm>
          <a:off x="3705225" y="6829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38</xdr:row>
      <xdr:rowOff>28575</xdr:rowOff>
    </xdr:from>
    <xdr:to>
      <xdr:col>5</xdr:col>
      <xdr:colOff>428625</xdr:colOff>
      <xdr:row>38</xdr:row>
      <xdr:rowOff>85725</xdr:rowOff>
    </xdr:to>
    <xdr:sp>
      <xdr:nvSpPr>
        <xdr:cNvPr id="189" name="Line 244"/>
        <xdr:cNvSpPr>
          <a:spLocks/>
        </xdr:cNvSpPr>
      </xdr:nvSpPr>
      <xdr:spPr>
        <a:xfrm>
          <a:off x="3619500" y="6829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38</xdr:row>
      <xdr:rowOff>19050</xdr:rowOff>
    </xdr:from>
    <xdr:to>
      <xdr:col>5</xdr:col>
      <xdr:colOff>609600</xdr:colOff>
      <xdr:row>38</xdr:row>
      <xdr:rowOff>85725</xdr:rowOff>
    </xdr:to>
    <xdr:sp>
      <xdr:nvSpPr>
        <xdr:cNvPr id="190" name="Line 245"/>
        <xdr:cNvSpPr>
          <a:spLocks/>
        </xdr:cNvSpPr>
      </xdr:nvSpPr>
      <xdr:spPr>
        <a:xfrm>
          <a:off x="3800475" y="6819900"/>
          <a:ext cx="1524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38</xdr:row>
      <xdr:rowOff>28575</xdr:rowOff>
    </xdr:from>
    <xdr:to>
      <xdr:col>5</xdr:col>
      <xdr:colOff>342900</xdr:colOff>
      <xdr:row>39</xdr:row>
      <xdr:rowOff>0</xdr:rowOff>
    </xdr:to>
    <xdr:sp>
      <xdr:nvSpPr>
        <xdr:cNvPr id="191" name="Line 246"/>
        <xdr:cNvSpPr>
          <a:spLocks/>
        </xdr:cNvSpPr>
      </xdr:nvSpPr>
      <xdr:spPr>
        <a:xfrm flipH="1">
          <a:off x="3581400" y="6829425"/>
          <a:ext cx="1047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38</xdr:row>
      <xdr:rowOff>19050</xdr:rowOff>
    </xdr:from>
    <xdr:to>
      <xdr:col>5</xdr:col>
      <xdr:colOff>419100</xdr:colOff>
      <xdr:row>38</xdr:row>
      <xdr:rowOff>85725</xdr:rowOff>
    </xdr:to>
    <xdr:sp>
      <xdr:nvSpPr>
        <xdr:cNvPr id="192" name="Line 247"/>
        <xdr:cNvSpPr>
          <a:spLocks/>
        </xdr:cNvSpPr>
      </xdr:nvSpPr>
      <xdr:spPr>
        <a:xfrm flipH="1">
          <a:off x="3657600" y="6819900"/>
          <a:ext cx="1047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38</xdr:row>
      <xdr:rowOff>19050</xdr:rowOff>
    </xdr:from>
    <xdr:to>
      <xdr:col>5</xdr:col>
      <xdr:colOff>476250</xdr:colOff>
      <xdr:row>38</xdr:row>
      <xdr:rowOff>85725</xdr:rowOff>
    </xdr:to>
    <xdr:sp>
      <xdr:nvSpPr>
        <xdr:cNvPr id="193" name="Line 248"/>
        <xdr:cNvSpPr>
          <a:spLocks/>
        </xdr:cNvSpPr>
      </xdr:nvSpPr>
      <xdr:spPr>
        <a:xfrm flipH="1">
          <a:off x="3714750" y="6819900"/>
          <a:ext cx="1047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457200</xdr:colOff>
      <xdr:row>0</xdr:row>
      <xdr:rowOff>104775</xdr:rowOff>
    </xdr:from>
    <xdr:to>
      <xdr:col>13</xdr:col>
      <xdr:colOff>1143000</xdr:colOff>
      <xdr:row>2</xdr:row>
      <xdr:rowOff>76200</xdr:rowOff>
    </xdr:to>
    <xdr:pic>
      <xdr:nvPicPr>
        <xdr:cNvPr id="19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04775"/>
          <a:ext cx="12192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333375</xdr:colOff>
      <xdr:row>12</xdr:row>
      <xdr:rowOff>28575</xdr:rowOff>
    </xdr:from>
    <xdr:ext cx="2085975" cy="2790825"/>
    <xdr:grpSp>
      <xdr:nvGrpSpPr>
        <xdr:cNvPr id="1" name="Group 1"/>
        <xdr:cNvGrpSpPr>
          <a:grpSpLocks/>
        </xdr:cNvGrpSpPr>
      </xdr:nvGrpSpPr>
      <xdr:grpSpPr>
        <a:xfrm>
          <a:off x="5248275" y="2305050"/>
          <a:ext cx="2085975" cy="2790825"/>
          <a:chOff x="638" y="1809"/>
          <a:chExt cx="216" cy="293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697" y="1867"/>
            <a:ext cx="96" cy="32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Polygon 3"/>
          <xdr:cNvSpPr>
            <a:spLocks/>
          </xdr:cNvSpPr>
        </xdr:nvSpPr>
        <xdr:spPr>
          <a:xfrm>
            <a:off x="696" y="1899"/>
            <a:ext cx="103" cy="110"/>
          </a:xfrm>
          <a:custGeom>
            <a:pathLst>
              <a:path h="106" w="103">
                <a:moveTo>
                  <a:pt x="1" y="1"/>
                </a:moveTo>
                <a:cubicBezTo>
                  <a:pt x="2" y="5"/>
                  <a:pt x="3" y="6"/>
                  <a:pt x="2" y="9"/>
                </a:cubicBezTo>
                <a:cubicBezTo>
                  <a:pt x="5" y="19"/>
                  <a:pt x="3" y="31"/>
                  <a:pt x="0" y="41"/>
                </a:cubicBezTo>
                <a:cubicBezTo>
                  <a:pt x="1" y="47"/>
                  <a:pt x="1" y="53"/>
                  <a:pt x="3" y="59"/>
                </a:cubicBezTo>
                <a:cubicBezTo>
                  <a:pt x="4" y="66"/>
                  <a:pt x="5" y="71"/>
                  <a:pt x="3" y="77"/>
                </a:cubicBezTo>
                <a:cubicBezTo>
                  <a:pt x="2" y="79"/>
                  <a:pt x="0" y="83"/>
                  <a:pt x="0" y="83"/>
                </a:cubicBezTo>
                <a:cubicBezTo>
                  <a:pt x="2" y="90"/>
                  <a:pt x="1" y="98"/>
                  <a:pt x="3" y="105"/>
                </a:cubicBezTo>
                <a:cubicBezTo>
                  <a:pt x="10" y="103"/>
                  <a:pt x="26" y="104"/>
                  <a:pt x="32" y="104"/>
                </a:cubicBezTo>
                <a:cubicBezTo>
                  <a:pt x="46" y="105"/>
                  <a:pt x="57" y="106"/>
                  <a:pt x="70" y="104"/>
                </a:cubicBezTo>
                <a:cubicBezTo>
                  <a:pt x="76" y="106"/>
                  <a:pt x="84" y="104"/>
                  <a:pt x="91" y="105"/>
                </a:cubicBezTo>
                <a:cubicBezTo>
                  <a:pt x="98" y="104"/>
                  <a:pt x="103" y="105"/>
                  <a:pt x="97" y="99"/>
                </a:cubicBezTo>
                <a:cubicBezTo>
                  <a:pt x="96" y="88"/>
                  <a:pt x="95" y="80"/>
                  <a:pt x="99" y="69"/>
                </a:cubicBezTo>
                <a:cubicBezTo>
                  <a:pt x="98" y="57"/>
                  <a:pt x="97" y="45"/>
                  <a:pt x="96" y="33"/>
                </a:cubicBezTo>
                <a:cubicBezTo>
                  <a:pt x="96" y="27"/>
                  <a:pt x="97" y="22"/>
                  <a:pt x="97" y="16"/>
                </a:cubicBezTo>
                <a:cubicBezTo>
                  <a:pt x="97" y="11"/>
                  <a:pt x="96" y="0"/>
                  <a:pt x="96" y="0"/>
                </a:cubicBezTo>
              </a:path>
            </a:pathLst>
          </a:cu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745" y="1809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793" y="1867"/>
            <a:ext cx="6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699" y="2008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715" y="2007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731" y="2007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746" y="2008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99" y="202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697" y="2047"/>
            <a:ext cx="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H="1">
            <a:off x="665" y="2047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728" y="2017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745" y="1874"/>
            <a:ext cx="0" cy="22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728" y="2086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H="1">
            <a:off x="671" y="2086"/>
            <a:ext cx="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H="1">
            <a:off x="638" y="1866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H="1">
            <a:off x="638" y="2007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652" y="1866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762" y="2008"/>
            <a:ext cx="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H="1">
            <a:off x="699" y="2030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>
            <a:off x="762" y="2030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oneCell">
    <xdr:from>
      <xdr:col>4</xdr:col>
      <xdr:colOff>257175</xdr:colOff>
      <xdr:row>1</xdr:row>
      <xdr:rowOff>104775</xdr:rowOff>
    </xdr:from>
    <xdr:to>
      <xdr:col>15</xdr:col>
      <xdr:colOff>381000</xdr:colOff>
      <xdr:row>4</xdr:row>
      <xdr:rowOff>142875</xdr:rowOff>
    </xdr:to>
    <xdr:pic>
      <xdr:nvPicPr>
        <xdr:cNvPr id="2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304800"/>
          <a:ext cx="5048250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</xdr:row>
      <xdr:rowOff>28575</xdr:rowOff>
    </xdr:from>
    <xdr:to>
      <xdr:col>3</xdr:col>
      <xdr:colOff>219075</xdr:colOff>
      <xdr:row>4</xdr:row>
      <xdr:rowOff>0</xdr:rowOff>
    </xdr:to>
    <xdr:pic>
      <xdr:nvPicPr>
        <xdr:cNvPr id="2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8625"/>
          <a:ext cx="12192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91"/>
  <sheetViews>
    <sheetView tabSelected="1" zoomScale="75" zoomScaleNormal="75" workbookViewId="0" topLeftCell="A1">
      <selection activeCell="F11" sqref="F11"/>
    </sheetView>
  </sheetViews>
  <sheetFormatPr defaultColWidth="11.421875" defaultRowHeight="12.75"/>
  <cols>
    <col min="1" max="1" width="4.421875" style="0" customWidth="1"/>
    <col min="7" max="7" width="8.7109375" style="0" customWidth="1"/>
    <col min="8" max="8" width="17.421875" style="0" customWidth="1"/>
    <col min="9" max="9" width="6.8515625" style="0" bestFit="1" customWidth="1"/>
    <col min="10" max="10" width="11.140625" style="0" customWidth="1"/>
    <col min="11" max="11" width="9.421875" style="0" customWidth="1"/>
    <col min="12" max="12" width="3.28125" style="0" customWidth="1"/>
    <col min="13" max="13" width="8.00390625" style="0" customWidth="1"/>
    <col min="14" max="14" width="19.00390625" style="0" customWidth="1"/>
    <col min="15" max="15" width="5.7109375" style="0" customWidth="1"/>
    <col min="16" max="16" width="15.00390625" style="0" customWidth="1"/>
    <col min="17" max="17" width="8.57421875" style="0" customWidth="1"/>
    <col min="18" max="22" width="8.7109375" style="0" customWidth="1"/>
    <col min="23" max="23" width="14.8515625" style="0" customWidth="1"/>
    <col min="24" max="24" width="11.00390625" style="0" customWidth="1"/>
    <col min="25" max="25" width="10.421875" style="0" customWidth="1"/>
    <col min="26" max="26" width="11.140625" style="0" customWidth="1"/>
    <col min="27" max="28" width="8.7109375" style="0" customWidth="1"/>
    <col min="29" max="29" width="10.421875" style="0" customWidth="1"/>
    <col min="30" max="30" width="12.140625" style="0" customWidth="1"/>
    <col min="31" max="35" width="8.7109375" style="0" customWidth="1"/>
  </cols>
  <sheetData>
    <row r="1" spans="2:10" ht="15.75">
      <c r="B1" s="41" t="s">
        <v>29</v>
      </c>
      <c r="C1" s="50" t="s">
        <v>114</v>
      </c>
      <c r="D1" s="38"/>
      <c r="E1" s="38"/>
      <c r="F1" s="38"/>
      <c r="G1" s="38"/>
      <c r="H1" s="38"/>
      <c r="I1" s="38"/>
      <c r="J1" s="41" t="s">
        <v>30</v>
      </c>
    </row>
    <row r="2" ht="15.75" customHeight="1" thickBot="1"/>
    <row r="3" spans="2:11" ht="12.75">
      <c r="B3" s="20"/>
      <c r="C3" s="21"/>
      <c r="D3" s="21"/>
      <c r="E3" s="3"/>
      <c r="F3" s="3"/>
      <c r="G3" s="3"/>
      <c r="H3" s="3"/>
      <c r="I3" s="3"/>
      <c r="J3" s="3"/>
      <c r="K3" s="4"/>
    </row>
    <row r="4" spans="2:11" ht="12.75">
      <c r="B4" s="5"/>
      <c r="C4" s="6"/>
      <c r="D4" s="169" t="s">
        <v>120</v>
      </c>
      <c r="E4" s="169"/>
      <c r="F4" s="169"/>
      <c r="G4" s="6"/>
      <c r="H4" s="7">
        <v>1.4</v>
      </c>
      <c r="I4" s="6" t="s">
        <v>0</v>
      </c>
      <c r="J4" s="6"/>
      <c r="K4" s="8"/>
    </row>
    <row r="5" spans="2:13" ht="15">
      <c r="B5" s="5"/>
      <c r="C5" s="6"/>
      <c r="D5" s="6"/>
      <c r="E5" s="6"/>
      <c r="F5" s="9" t="s">
        <v>3</v>
      </c>
      <c r="G5" s="6"/>
      <c r="H5" s="6"/>
      <c r="I5" s="6"/>
      <c r="J5" s="6"/>
      <c r="K5" s="8"/>
      <c r="M5" s="42" t="s">
        <v>31</v>
      </c>
    </row>
    <row r="6" spans="2:11" ht="12.75">
      <c r="B6" s="5"/>
      <c r="C6" s="6"/>
      <c r="D6" s="6"/>
      <c r="E6" s="6"/>
      <c r="F6" s="10">
        <f>J15</f>
        <v>0.8</v>
      </c>
      <c r="G6" s="6" t="s">
        <v>0</v>
      </c>
      <c r="H6" s="6"/>
      <c r="I6" s="6"/>
      <c r="J6" s="6"/>
      <c r="K6" s="8"/>
    </row>
    <row r="7" spans="2:11" ht="12.75">
      <c r="B7" s="5"/>
      <c r="C7" s="6"/>
      <c r="D7" s="6"/>
      <c r="E7" s="6"/>
      <c r="F7" s="6"/>
      <c r="G7" s="6"/>
      <c r="H7" s="6"/>
      <c r="I7" s="6"/>
      <c r="J7" s="6"/>
      <c r="K7" s="8"/>
    </row>
    <row r="8" spans="2:11" ht="12.75">
      <c r="B8" s="5"/>
      <c r="C8" s="6"/>
      <c r="D8" s="6"/>
      <c r="E8" s="6"/>
      <c r="F8" s="6"/>
      <c r="G8" s="6"/>
      <c r="H8" s="6"/>
      <c r="I8" s="6"/>
      <c r="J8" s="6"/>
      <c r="K8" s="8"/>
    </row>
    <row r="9" spans="2:11" ht="12.75">
      <c r="B9" s="5"/>
      <c r="C9" s="6"/>
      <c r="D9" s="6"/>
      <c r="E9" s="6"/>
      <c r="F9" s="6"/>
      <c r="G9" s="6"/>
      <c r="H9" s="6"/>
      <c r="I9" s="11">
        <f>H4</f>
        <v>1.4</v>
      </c>
      <c r="J9" s="6" t="s">
        <v>0</v>
      </c>
      <c r="K9" s="8"/>
    </row>
    <row r="10" spans="2:11" ht="12.75">
      <c r="B10" s="5"/>
      <c r="C10" s="6"/>
      <c r="D10" s="6"/>
      <c r="E10" s="6"/>
      <c r="F10" s="12">
        <v>0.4</v>
      </c>
      <c r="G10" s="6" t="s">
        <v>0</v>
      </c>
      <c r="H10" s="6"/>
      <c r="I10" s="6"/>
      <c r="J10" s="6"/>
      <c r="K10" s="8"/>
    </row>
    <row r="11" spans="2:11" ht="12.75">
      <c r="B11" s="5"/>
      <c r="C11" s="6"/>
      <c r="D11" s="6"/>
      <c r="E11" s="6"/>
      <c r="F11" s="6"/>
      <c r="G11" s="6"/>
      <c r="H11" s="6"/>
      <c r="I11" s="6"/>
      <c r="J11" s="6"/>
      <c r="K11" s="8"/>
    </row>
    <row r="12" spans="2:11" ht="12.75">
      <c r="B12" s="5"/>
      <c r="C12" s="6"/>
      <c r="D12" s="6"/>
      <c r="E12" s="6"/>
      <c r="F12" s="6"/>
      <c r="G12" s="6"/>
      <c r="H12" s="6"/>
      <c r="I12" s="6"/>
      <c r="J12" s="6"/>
      <c r="K12" s="8"/>
    </row>
    <row r="13" spans="2:11" ht="12.75">
      <c r="B13" s="5"/>
      <c r="C13" s="6"/>
      <c r="D13" s="6"/>
      <c r="E13" s="6"/>
      <c r="F13" s="6"/>
      <c r="G13" s="6"/>
      <c r="H13" s="6"/>
      <c r="I13" s="6"/>
      <c r="J13" s="6"/>
      <c r="K13" s="8"/>
    </row>
    <row r="14" spans="2:11" ht="12.75">
      <c r="B14" s="5"/>
      <c r="C14" s="6"/>
      <c r="D14" s="6"/>
      <c r="E14" s="6"/>
      <c r="F14" s="6"/>
      <c r="G14" s="6"/>
      <c r="H14" s="6"/>
      <c r="I14" s="6"/>
      <c r="J14" s="9" t="s">
        <v>3</v>
      </c>
      <c r="K14" s="8"/>
    </row>
    <row r="15" spans="2:11" ht="12.75">
      <c r="B15" s="5"/>
      <c r="C15" s="6"/>
      <c r="D15" s="6"/>
      <c r="E15" s="6"/>
      <c r="F15" s="6"/>
      <c r="G15" s="6"/>
      <c r="H15" s="6"/>
      <c r="I15" s="6"/>
      <c r="J15" s="7">
        <v>0.8</v>
      </c>
      <c r="K15" s="8" t="s">
        <v>0</v>
      </c>
    </row>
    <row r="16" spans="2:11" ht="12.75">
      <c r="B16" s="13">
        <f>F28</f>
        <v>3.8</v>
      </c>
      <c r="C16" s="6" t="s">
        <v>1</v>
      </c>
      <c r="D16" s="6"/>
      <c r="E16" s="6"/>
      <c r="F16" s="6"/>
      <c r="G16" s="6"/>
      <c r="H16" s="6"/>
      <c r="I16" s="6"/>
      <c r="J16" s="6"/>
      <c r="K16" s="8"/>
    </row>
    <row r="17" spans="2:11" ht="12.75">
      <c r="B17" s="5"/>
      <c r="C17" s="6"/>
      <c r="D17" s="6"/>
      <c r="E17" s="6"/>
      <c r="F17" s="6"/>
      <c r="G17" s="6"/>
      <c r="H17" s="6"/>
      <c r="I17" s="6"/>
      <c r="J17" s="6"/>
      <c r="K17" s="8"/>
    </row>
    <row r="18" spans="2:11" ht="12.75">
      <c r="B18" s="5"/>
      <c r="C18" s="6"/>
      <c r="D18" s="6"/>
      <c r="E18" s="6"/>
      <c r="F18" s="6"/>
      <c r="G18" s="6"/>
      <c r="H18" s="6"/>
      <c r="I18" s="6"/>
      <c r="J18" s="6"/>
      <c r="K18" s="8"/>
    </row>
    <row r="19" spans="2:11" ht="12.75">
      <c r="B19" s="5"/>
      <c r="C19" s="6"/>
      <c r="D19" s="6"/>
      <c r="E19" s="6"/>
      <c r="F19" s="6"/>
      <c r="G19" s="6"/>
      <c r="H19" s="6"/>
      <c r="I19" s="6"/>
      <c r="J19" s="6"/>
      <c r="K19" s="8"/>
    </row>
    <row r="20" spans="2:17" ht="15.75">
      <c r="B20" s="5"/>
      <c r="C20" s="6"/>
      <c r="D20" s="6"/>
      <c r="E20" s="6"/>
      <c r="F20" s="6"/>
      <c r="G20" s="6"/>
      <c r="H20" s="6"/>
      <c r="I20" s="6"/>
      <c r="J20" s="6"/>
      <c r="K20" s="8"/>
      <c r="M20" s="46" t="s">
        <v>32</v>
      </c>
      <c r="N20" s="47" t="s">
        <v>37</v>
      </c>
      <c r="O20" s="48"/>
      <c r="P20" s="48"/>
      <c r="Q20" s="49"/>
    </row>
    <row r="21" spans="2:17" ht="15.75">
      <c r="B21" s="5"/>
      <c r="C21" s="6"/>
      <c r="D21" s="6"/>
      <c r="E21" s="6"/>
      <c r="F21" s="6"/>
      <c r="G21" s="6"/>
      <c r="H21" s="6"/>
      <c r="I21" s="6"/>
      <c r="J21" s="6"/>
      <c r="K21" s="8"/>
      <c r="M21" s="141" t="s">
        <v>38</v>
      </c>
      <c r="N21" s="142"/>
      <c r="O21" s="142"/>
      <c r="P21" s="142"/>
      <c r="Q21" s="143"/>
    </row>
    <row r="22" spans="2:17" ht="15.75">
      <c r="B22" s="5"/>
      <c r="C22" s="6"/>
      <c r="D22" s="6"/>
      <c r="E22" s="6"/>
      <c r="F22" s="6"/>
      <c r="G22" s="6"/>
      <c r="H22" s="6"/>
      <c r="I22" s="6"/>
      <c r="J22" s="6"/>
      <c r="K22" s="8"/>
      <c r="M22" s="144" t="s">
        <v>39</v>
      </c>
      <c r="N22" s="145"/>
      <c r="O22" s="145"/>
      <c r="P22" s="145"/>
      <c r="Q22" s="146"/>
    </row>
    <row r="23" spans="2:17" ht="12.75">
      <c r="B23" s="5"/>
      <c r="C23" s="6"/>
      <c r="D23" s="6"/>
      <c r="E23" s="6"/>
      <c r="F23" s="6"/>
      <c r="G23" s="6"/>
      <c r="H23" s="6"/>
      <c r="I23" s="6"/>
      <c r="J23" s="6"/>
      <c r="K23" s="8"/>
      <c r="M23" s="32"/>
      <c r="N23" s="32"/>
      <c r="O23" s="32"/>
      <c r="P23" s="32"/>
      <c r="Q23" s="32"/>
    </row>
    <row r="24" spans="2:11" ht="12.75">
      <c r="B24" s="22" t="s">
        <v>4</v>
      </c>
      <c r="C24" s="6"/>
      <c r="D24" s="6"/>
      <c r="E24" s="6"/>
      <c r="F24" s="6"/>
      <c r="G24" s="6"/>
      <c r="H24" s="6"/>
      <c r="I24" s="6"/>
      <c r="J24" s="24" t="s">
        <v>4</v>
      </c>
      <c r="K24" s="8"/>
    </row>
    <row r="25" spans="2:11" ht="12.75">
      <c r="B25" s="23"/>
      <c r="C25" s="6"/>
      <c r="D25" s="6"/>
      <c r="E25" s="6"/>
      <c r="F25" s="6"/>
      <c r="G25" s="6"/>
      <c r="H25" s="6"/>
      <c r="I25" s="6"/>
      <c r="J25" s="6"/>
      <c r="K25" s="8"/>
    </row>
    <row r="26" spans="2:11" ht="12.75">
      <c r="B26" s="5"/>
      <c r="C26" s="6"/>
      <c r="D26" s="6"/>
      <c r="E26" s="6"/>
      <c r="F26" s="6"/>
      <c r="G26" s="6"/>
      <c r="H26" s="6"/>
      <c r="I26" s="6"/>
      <c r="J26" s="6"/>
      <c r="K26" s="8"/>
    </row>
    <row r="27" spans="2:11" ht="12.75">
      <c r="B27" s="5"/>
      <c r="C27" s="6"/>
      <c r="D27" s="6"/>
      <c r="E27" s="6"/>
      <c r="F27" s="6"/>
      <c r="G27" s="6"/>
      <c r="H27" s="6"/>
      <c r="I27" s="6"/>
      <c r="J27" s="6"/>
      <c r="K27" s="8"/>
    </row>
    <row r="28" spans="2:11" ht="12.75">
      <c r="B28" s="5"/>
      <c r="C28" s="6"/>
      <c r="D28" s="6"/>
      <c r="E28" s="39" t="s">
        <v>24</v>
      </c>
      <c r="F28" s="7">
        <v>3.8</v>
      </c>
      <c r="G28" s="6" t="s">
        <v>0</v>
      </c>
      <c r="H28" s="6"/>
      <c r="I28" s="6"/>
      <c r="J28" s="6"/>
      <c r="K28" s="8"/>
    </row>
    <row r="29" spans="2:11" ht="12.75">
      <c r="B29" s="5"/>
      <c r="C29" s="6"/>
      <c r="D29" s="6"/>
      <c r="E29" s="6"/>
      <c r="F29" s="6"/>
      <c r="G29" s="6"/>
      <c r="H29" s="6"/>
      <c r="I29" s="6"/>
      <c r="J29" s="6"/>
      <c r="K29" s="8"/>
    </row>
    <row r="30" spans="2:11" ht="12.75">
      <c r="B30" s="14"/>
      <c r="C30" s="15"/>
      <c r="D30" s="15"/>
      <c r="E30" s="15"/>
      <c r="F30" s="15"/>
      <c r="G30" s="15"/>
      <c r="H30" s="15"/>
      <c r="I30" s="15"/>
      <c r="J30" s="15"/>
      <c r="K30" s="16"/>
    </row>
    <row r="31" spans="1:11" ht="13.5" customHeight="1" thickBo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9"/>
    </row>
    <row r="32" spans="1:10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ht="13.5" thickBot="1"/>
    <row r="34" spans="2:11" ht="12.75">
      <c r="B34" s="20"/>
      <c r="C34" s="21"/>
      <c r="D34" s="21"/>
      <c r="E34" s="21"/>
      <c r="F34" s="21"/>
      <c r="G34" s="21"/>
      <c r="H34" s="21"/>
      <c r="I34" s="21"/>
      <c r="J34" s="21"/>
      <c r="K34" s="25"/>
    </row>
    <row r="35" spans="2:11" ht="12.75">
      <c r="B35" s="14"/>
      <c r="C35" s="15"/>
      <c r="D35" s="15"/>
      <c r="E35" s="15"/>
      <c r="F35" s="24" t="s">
        <v>5</v>
      </c>
      <c r="G35" s="15"/>
      <c r="H35" s="15"/>
      <c r="I35" s="26">
        <v>471.16</v>
      </c>
      <c r="J35" s="15"/>
      <c r="K35" s="16"/>
    </row>
    <row r="36" spans="2:11" ht="12.75">
      <c r="B36" s="14"/>
      <c r="C36" s="15"/>
      <c r="D36" s="15"/>
      <c r="E36" s="15"/>
      <c r="F36" s="15"/>
      <c r="G36" s="15"/>
      <c r="H36" s="15"/>
      <c r="I36" s="15"/>
      <c r="J36" s="15" t="s">
        <v>113</v>
      </c>
      <c r="K36" s="16"/>
    </row>
    <row r="37" spans="2:11" ht="12.75">
      <c r="B37" s="14"/>
      <c r="C37" s="15"/>
      <c r="D37" s="15"/>
      <c r="E37" s="15"/>
      <c r="F37" s="15"/>
      <c r="G37" s="15"/>
      <c r="H37" s="15"/>
      <c r="I37" s="15"/>
      <c r="J37" s="15"/>
      <c r="K37" s="16"/>
    </row>
    <row r="38" spans="2:11" ht="46.5" customHeight="1">
      <c r="B38" s="14"/>
      <c r="C38" s="15"/>
      <c r="D38" s="15"/>
      <c r="E38" s="15"/>
      <c r="F38" s="15"/>
      <c r="G38" s="15"/>
      <c r="H38" s="15"/>
      <c r="I38" s="15"/>
      <c r="J38" s="15"/>
      <c r="K38" s="16"/>
    </row>
    <row r="39" spans="2:11" ht="6.75" customHeight="1">
      <c r="B39" s="14"/>
      <c r="C39" s="15"/>
      <c r="D39" s="15"/>
      <c r="E39" s="15"/>
      <c r="F39" s="15"/>
      <c r="G39" s="15"/>
      <c r="H39" s="15"/>
      <c r="I39" s="15"/>
      <c r="J39" s="15"/>
      <c r="K39" s="16"/>
    </row>
    <row r="40" spans="2:11" ht="1.5" customHeight="1">
      <c r="B40" s="14"/>
      <c r="C40" s="15"/>
      <c r="D40" s="15"/>
      <c r="E40" s="15"/>
      <c r="F40" s="1"/>
      <c r="G40" s="15"/>
      <c r="H40" s="15"/>
      <c r="I40" s="15"/>
      <c r="J40" s="15"/>
      <c r="K40" s="16"/>
    </row>
    <row r="41" spans="2:11" ht="4.5" customHeight="1">
      <c r="B41" s="14"/>
      <c r="C41" s="15"/>
      <c r="D41" s="15"/>
      <c r="E41" s="15"/>
      <c r="F41" s="1"/>
      <c r="G41" s="15"/>
      <c r="H41" s="15"/>
      <c r="I41" s="15"/>
      <c r="J41" s="15"/>
      <c r="K41" s="16"/>
    </row>
    <row r="42" spans="2:11" ht="12" customHeight="1">
      <c r="B42" s="14"/>
      <c r="C42" s="15"/>
      <c r="D42" s="15"/>
      <c r="E42" s="15"/>
      <c r="F42" s="28">
        <v>467.7</v>
      </c>
      <c r="G42" s="15" t="s">
        <v>0</v>
      </c>
      <c r="H42" s="15"/>
      <c r="I42" s="15"/>
      <c r="J42" s="15"/>
      <c r="K42" s="16"/>
    </row>
    <row r="43" spans="2:11" ht="4.5" customHeight="1">
      <c r="B43" s="14"/>
      <c r="C43" s="15"/>
      <c r="D43" s="15"/>
      <c r="E43" s="15"/>
      <c r="F43" s="15"/>
      <c r="G43" s="15"/>
      <c r="H43" s="15"/>
      <c r="I43" s="15"/>
      <c r="J43" s="15"/>
      <c r="K43" s="16"/>
    </row>
    <row r="44" spans="2:11" ht="4.5" customHeight="1">
      <c r="B44" s="14"/>
      <c r="C44" s="15"/>
      <c r="D44" s="15"/>
      <c r="E44" s="15"/>
      <c r="F44" s="15"/>
      <c r="G44" s="15"/>
      <c r="H44" s="15"/>
      <c r="I44" s="15"/>
      <c r="J44" s="15"/>
      <c r="K44" s="16"/>
    </row>
    <row r="45" spans="2:11" ht="12.75">
      <c r="B45" s="14"/>
      <c r="C45" s="15"/>
      <c r="D45" s="15"/>
      <c r="E45" s="15"/>
      <c r="F45" s="15"/>
      <c r="G45" s="15"/>
      <c r="H45" s="15"/>
      <c r="I45" s="15"/>
      <c r="J45" s="15"/>
      <c r="K45" s="16"/>
    </row>
    <row r="46" spans="2:11" ht="12.75">
      <c r="B46" s="14"/>
      <c r="C46" s="15"/>
      <c r="D46" s="15"/>
      <c r="E46" s="15"/>
      <c r="F46" s="27"/>
      <c r="H46" s="15"/>
      <c r="I46" s="15"/>
      <c r="J46" s="15"/>
      <c r="K46" s="16"/>
    </row>
    <row r="47" spans="2:11" ht="12.75">
      <c r="B47" s="14"/>
      <c r="C47" s="15"/>
      <c r="D47" s="15"/>
      <c r="E47" s="15"/>
      <c r="F47" s="138">
        <v>266</v>
      </c>
      <c r="G47" s="15" t="s">
        <v>14</v>
      </c>
      <c r="H47" s="15"/>
      <c r="I47" s="15"/>
      <c r="J47" s="15"/>
      <c r="K47" s="16"/>
    </row>
    <row r="48" spans="2:11" ht="12.75">
      <c r="B48" s="14"/>
      <c r="C48" s="15"/>
      <c r="D48" s="15"/>
      <c r="E48" s="51"/>
      <c r="F48" s="29" t="s">
        <v>115</v>
      </c>
      <c r="G48" s="51"/>
      <c r="H48" s="15"/>
      <c r="I48" s="15"/>
      <c r="J48" s="15"/>
      <c r="K48" s="16"/>
    </row>
    <row r="49" spans="2:11" ht="12.75">
      <c r="B49" s="14"/>
      <c r="C49" s="15"/>
      <c r="D49" s="15"/>
      <c r="E49" s="15"/>
      <c r="F49" s="15"/>
      <c r="G49" s="15"/>
      <c r="H49" s="15"/>
      <c r="I49" s="15"/>
      <c r="J49" s="15"/>
      <c r="K49" s="16"/>
    </row>
    <row r="50" spans="2:11" ht="25.5" customHeight="1" thickBot="1">
      <c r="B50" s="17"/>
      <c r="C50" s="18"/>
      <c r="D50" s="18"/>
      <c r="E50" s="18"/>
      <c r="F50" s="18"/>
      <c r="G50" s="18"/>
      <c r="H50" s="18"/>
      <c r="I50" s="18"/>
      <c r="J50" s="18"/>
      <c r="K50" s="19"/>
    </row>
    <row r="51" spans="2:10" ht="81" customHeight="1">
      <c r="B51" s="41" t="s">
        <v>29</v>
      </c>
      <c r="C51" s="40" t="str">
        <f>C1</f>
        <v>Grue GT118 chassi 3.80m x 3.80m HSC 30.70m flèche36.00m</v>
      </c>
      <c r="J51" s="41" t="s">
        <v>33</v>
      </c>
    </row>
    <row r="52" ht="43.5" customHeight="1" thickBot="1"/>
    <row r="53" spans="2:11" ht="12.75">
      <c r="B53" s="20"/>
      <c r="C53" s="21"/>
      <c r="D53" s="21"/>
      <c r="E53" s="21"/>
      <c r="F53" s="21"/>
      <c r="G53" s="21"/>
      <c r="H53" s="21"/>
      <c r="I53" s="21"/>
      <c r="J53" s="21"/>
      <c r="K53" s="25"/>
    </row>
    <row r="54" spans="2:11" ht="12.75">
      <c r="B54" s="14"/>
      <c r="C54" s="140" t="s">
        <v>7</v>
      </c>
      <c r="D54" s="140"/>
      <c r="E54" s="24" t="s">
        <v>8</v>
      </c>
      <c r="F54" s="15"/>
      <c r="G54" s="15"/>
      <c r="H54" s="15"/>
      <c r="I54" s="15"/>
      <c r="J54" s="15"/>
      <c r="K54" s="16"/>
    </row>
    <row r="55" spans="2:11" ht="12.75">
      <c r="B55" s="31"/>
      <c r="C55" s="15"/>
      <c r="D55" s="15"/>
      <c r="E55" s="32"/>
      <c r="F55" s="15"/>
      <c r="G55" s="15"/>
      <c r="H55" s="27" t="s">
        <v>6</v>
      </c>
      <c r="I55" s="29">
        <v>18</v>
      </c>
      <c r="J55" s="15"/>
      <c r="K55" s="16"/>
    </row>
    <row r="56" spans="2:11" ht="12.75">
      <c r="B56" s="14"/>
      <c r="C56" s="15"/>
      <c r="D56" s="15"/>
      <c r="E56" s="15"/>
      <c r="F56" s="15"/>
      <c r="G56" s="29" t="s">
        <v>117</v>
      </c>
      <c r="H56" s="33">
        <f>I55*2+J57</f>
        <v>165.99999999999997</v>
      </c>
      <c r="I56" s="15"/>
      <c r="J56" s="15"/>
      <c r="K56" s="16"/>
    </row>
    <row r="57" spans="2:11" ht="12.75">
      <c r="B57" s="14"/>
      <c r="C57" s="15"/>
      <c r="D57" s="15"/>
      <c r="E57" s="15"/>
      <c r="F57" s="15"/>
      <c r="G57" s="27"/>
      <c r="H57" s="15"/>
      <c r="I57" s="15"/>
      <c r="J57" s="30">
        <f>(H4-0.1)*100</f>
        <v>129.99999999999997</v>
      </c>
      <c r="K57" s="16"/>
    </row>
    <row r="58" spans="2:11" ht="12.75">
      <c r="B58" s="14"/>
      <c r="C58" s="15"/>
      <c r="D58" s="15"/>
      <c r="E58" s="15"/>
      <c r="F58" s="15"/>
      <c r="G58" s="27"/>
      <c r="H58" s="15"/>
      <c r="I58" s="29">
        <v>18</v>
      </c>
      <c r="J58" s="15"/>
      <c r="K58" s="16"/>
    </row>
    <row r="59" spans="2:11" ht="12.75">
      <c r="B59" s="14"/>
      <c r="C59" s="15"/>
      <c r="D59" s="15"/>
      <c r="E59" s="15"/>
      <c r="F59" s="15"/>
      <c r="G59" s="29" t="s">
        <v>117</v>
      </c>
      <c r="H59" s="33">
        <f>I58*2+J60</f>
        <v>165.99999999999997</v>
      </c>
      <c r="I59" s="15"/>
      <c r="J59" s="15"/>
      <c r="K59" s="16"/>
    </row>
    <row r="60" spans="2:11" ht="12.75">
      <c r="B60" s="14"/>
      <c r="C60" s="15"/>
      <c r="D60" s="15"/>
      <c r="E60" s="15"/>
      <c r="F60" s="15"/>
      <c r="G60" s="15"/>
      <c r="H60" s="15"/>
      <c r="I60" s="15"/>
      <c r="J60" s="30">
        <f>(H4-0.1)*100</f>
        <v>129.99999999999997</v>
      </c>
      <c r="K60" s="16"/>
    </row>
    <row r="61" spans="2:11" ht="12.75">
      <c r="B61" s="14"/>
      <c r="C61" s="15"/>
      <c r="D61" s="15"/>
      <c r="E61" s="15"/>
      <c r="F61" s="15"/>
      <c r="G61" s="15"/>
      <c r="H61" s="15"/>
      <c r="I61" s="15"/>
      <c r="J61" s="15"/>
      <c r="K61" s="16"/>
    </row>
    <row r="62" spans="2:11" ht="12.75">
      <c r="B62" s="14"/>
      <c r="C62" s="15"/>
      <c r="D62" s="15"/>
      <c r="E62" s="15"/>
      <c r="F62" s="15"/>
      <c r="G62" s="15"/>
      <c r="I62" s="15"/>
      <c r="J62" s="15"/>
      <c r="K62" s="16"/>
    </row>
    <row r="63" spans="2:11" ht="12.75">
      <c r="B63" s="14"/>
      <c r="C63" s="15"/>
      <c r="D63" s="15"/>
      <c r="E63" s="15"/>
      <c r="F63" s="15"/>
      <c r="G63" s="15"/>
      <c r="H63" s="15"/>
      <c r="I63" s="15"/>
      <c r="J63" s="15"/>
      <c r="K63" s="16"/>
    </row>
    <row r="64" spans="2:11" ht="13.5" thickBot="1">
      <c r="B64" s="17"/>
      <c r="C64" s="18"/>
      <c r="D64" s="18"/>
      <c r="E64" s="18"/>
      <c r="F64" s="18"/>
      <c r="G64" s="18"/>
      <c r="H64" s="18"/>
      <c r="I64" s="18"/>
      <c r="J64" s="18"/>
      <c r="K64" s="19"/>
    </row>
    <row r="66" ht="13.5" thickBot="1"/>
    <row r="67" spans="2:11" ht="12.75">
      <c r="B67" s="20"/>
      <c r="C67" s="21"/>
      <c r="D67" s="21"/>
      <c r="E67" s="21"/>
      <c r="F67" s="21"/>
      <c r="G67" s="21"/>
      <c r="H67" s="21"/>
      <c r="I67" s="21"/>
      <c r="J67" s="21"/>
      <c r="K67" s="25"/>
    </row>
    <row r="68" spans="2:11" ht="12.75">
      <c r="B68" s="14"/>
      <c r="C68" s="15"/>
      <c r="D68" s="32"/>
      <c r="E68" s="15"/>
      <c r="F68" s="24" t="s">
        <v>9</v>
      </c>
      <c r="G68" s="15"/>
      <c r="H68" s="24" t="str">
        <f>E54</f>
        <v>(X4)</v>
      </c>
      <c r="I68" s="15"/>
      <c r="J68" s="15"/>
      <c r="K68" s="16"/>
    </row>
    <row r="69" spans="2:11" ht="12.75">
      <c r="B69" s="14"/>
      <c r="C69" s="15"/>
      <c r="D69" s="15"/>
      <c r="E69" s="15"/>
      <c r="F69" s="15"/>
      <c r="G69" s="15"/>
      <c r="H69" s="15"/>
      <c r="I69" s="15"/>
      <c r="J69" s="15"/>
      <c r="K69" s="16"/>
    </row>
    <row r="70" spans="1:17" ht="12.75">
      <c r="A70" s="32"/>
      <c r="B70" s="14"/>
      <c r="C70" s="15"/>
      <c r="D70" s="15"/>
      <c r="E70" s="15"/>
      <c r="F70" s="15"/>
      <c r="G70" s="15"/>
      <c r="H70" s="15"/>
      <c r="I70" s="15"/>
      <c r="J70" s="15"/>
      <c r="K70" s="16"/>
      <c r="Q70" s="32"/>
    </row>
    <row r="71" spans="1:17" ht="12.75">
      <c r="A71" s="44"/>
      <c r="B71" s="14"/>
      <c r="C71" s="15"/>
      <c r="D71" s="15"/>
      <c r="E71" s="15"/>
      <c r="F71" s="15"/>
      <c r="G71" s="15"/>
      <c r="H71" s="15"/>
      <c r="I71" s="15"/>
      <c r="J71" s="15"/>
      <c r="K71" s="16"/>
      <c r="Q71" s="44"/>
    </row>
    <row r="72" spans="1:17" ht="12.75">
      <c r="A72" s="44"/>
      <c r="B72" s="14"/>
      <c r="C72" s="15"/>
      <c r="D72" s="15"/>
      <c r="E72" s="15"/>
      <c r="F72" s="15"/>
      <c r="G72" s="15"/>
      <c r="H72" s="15"/>
      <c r="I72" s="15"/>
      <c r="J72" s="15"/>
      <c r="K72" s="16"/>
      <c r="Q72" s="44"/>
    </row>
    <row r="73" spans="1:17" ht="12.75">
      <c r="A73" s="32"/>
      <c r="B73" s="14"/>
      <c r="C73" s="15"/>
      <c r="D73" s="15"/>
      <c r="E73" s="15"/>
      <c r="F73" s="15"/>
      <c r="G73" s="15"/>
      <c r="H73" s="15"/>
      <c r="I73" s="15"/>
      <c r="J73" s="15"/>
      <c r="K73" s="16"/>
      <c r="Q73" s="32"/>
    </row>
    <row r="74" spans="2:11" ht="12.75">
      <c r="B74" s="14"/>
      <c r="C74" s="15"/>
      <c r="D74" s="15"/>
      <c r="E74" s="15"/>
      <c r="F74" s="15"/>
      <c r="G74" s="15"/>
      <c r="H74" s="15"/>
      <c r="I74" s="15"/>
      <c r="J74" s="15"/>
      <c r="K74" s="16"/>
    </row>
    <row r="75" spans="2:11" ht="12.75">
      <c r="B75" s="14"/>
      <c r="C75" s="15"/>
      <c r="D75" s="15"/>
      <c r="E75" s="15"/>
      <c r="F75" s="15"/>
      <c r="G75" s="15"/>
      <c r="H75" s="15"/>
      <c r="I75" s="15"/>
      <c r="J75" s="15"/>
      <c r="K75" s="16"/>
    </row>
    <row r="76" spans="2:11" ht="12.75">
      <c r="B76" s="14"/>
      <c r="C76" s="15"/>
      <c r="D76" s="15"/>
      <c r="E76" s="15"/>
      <c r="F76" s="15"/>
      <c r="G76" s="15"/>
      <c r="H76" s="15"/>
      <c r="I76" s="15"/>
      <c r="J76" s="15"/>
      <c r="K76" s="16"/>
    </row>
    <row r="77" spans="2:11" ht="12.75">
      <c r="B77" s="14"/>
      <c r="C77" s="15"/>
      <c r="D77" s="15"/>
      <c r="E77" s="15"/>
      <c r="F77" s="15"/>
      <c r="G77" s="15"/>
      <c r="H77" s="15"/>
      <c r="I77" s="15"/>
      <c r="J77" s="15"/>
      <c r="K77" s="16"/>
    </row>
    <row r="78" spans="2:11" ht="12.75">
      <c r="B78" s="14"/>
      <c r="C78" s="15"/>
      <c r="D78" s="15"/>
      <c r="E78" s="15"/>
      <c r="F78" s="15"/>
      <c r="G78" s="15"/>
      <c r="H78" s="27" t="s">
        <v>6</v>
      </c>
      <c r="I78" s="29">
        <v>80</v>
      </c>
      <c r="J78" s="45">
        <v>80</v>
      </c>
      <c r="K78" s="16"/>
    </row>
    <row r="79" spans="2:11" ht="12.75">
      <c r="B79" s="14"/>
      <c r="C79" s="15"/>
      <c r="D79" s="15"/>
      <c r="E79" s="15"/>
      <c r="F79" s="139" t="s">
        <v>118</v>
      </c>
      <c r="G79" s="139"/>
      <c r="H79" s="34">
        <f>I78+J78</f>
        <v>160</v>
      </c>
      <c r="I79" s="36"/>
      <c r="J79" s="15"/>
      <c r="K79" s="16"/>
    </row>
    <row r="80" spans="2:11" ht="12.75">
      <c r="B80" s="14"/>
      <c r="C80" s="15"/>
      <c r="D80" s="15"/>
      <c r="E80" s="15"/>
      <c r="F80" s="15"/>
      <c r="G80" s="27"/>
      <c r="H80" s="15"/>
      <c r="I80" s="36" t="s">
        <v>10</v>
      </c>
      <c r="J80" s="32"/>
      <c r="K80" s="16"/>
    </row>
    <row r="81" spans="2:11" ht="12.75">
      <c r="B81" s="14"/>
      <c r="C81" s="15"/>
      <c r="D81" s="15"/>
      <c r="E81" s="15"/>
      <c r="F81" s="15"/>
      <c r="G81" s="27"/>
      <c r="H81" s="15"/>
      <c r="I81" s="27"/>
      <c r="J81" s="15"/>
      <c r="K81" s="16"/>
    </row>
    <row r="82" spans="2:11" ht="12.75">
      <c r="B82" s="14"/>
      <c r="C82" s="15"/>
      <c r="D82" s="15"/>
      <c r="E82" s="15"/>
      <c r="F82" s="139" t="s">
        <v>119</v>
      </c>
      <c r="G82" s="139"/>
      <c r="H82" s="34">
        <f>J83</f>
        <v>240</v>
      </c>
      <c r="I82" s="15"/>
      <c r="J82" s="15"/>
      <c r="K82" s="16"/>
    </row>
    <row r="83" spans="2:11" ht="12.75">
      <c r="B83" s="14"/>
      <c r="C83" s="15"/>
      <c r="D83" s="15"/>
      <c r="E83" s="32"/>
      <c r="F83" s="15"/>
      <c r="G83" s="15"/>
      <c r="H83" s="15"/>
      <c r="I83" s="15"/>
      <c r="J83" s="35">
        <f>(F28-H4)*100</f>
        <v>240</v>
      </c>
      <c r="K83" s="16"/>
    </row>
    <row r="84" spans="2:11" ht="12.75">
      <c r="B84" s="14"/>
      <c r="C84" s="15"/>
      <c r="D84" s="15"/>
      <c r="E84" s="15"/>
      <c r="F84" s="15"/>
      <c r="G84" s="15"/>
      <c r="H84" s="15"/>
      <c r="I84" s="15"/>
      <c r="J84" s="15"/>
      <c r="K84" s="16"/>
    </row>
    <row r="85" spans="2:11" ht="12.75">
      <c r="B85" s="14"/>
      <c r="C85" s="15"/>
      <c r="D85" s="15"/>
      <c r="E85" s="15"/>
      <c r="F85" s="15"/>
      <c r="G85" s="27"/>
      <c r="H85" s="15"/>
      <c r="I85" s="27"/>
      <c r="J85" s="15"/>
      <c r="K85" s="16"/>
    </row>
    <row r="86" spans="2:11" ht="12.75">
      <c r="B86" s="14"/>
      <c r="C86" s="15"/>
      <c r="D86" s="15"/>
      <c r="E86" s="15"/>
      <c r="F86" s="139" t="s">
        <v>40</v>
      </c>
      <c r="G86" s="139"/>
      <c r="H86" s="34">
        <f>2*(J89+I86)+15</f>
        <v>231</v>
      </c>
      <c r="I86" s="15">
        <f>(J15-0.06)*100</f>
        <v>74</v>
      </c>
      <c r="J86" s="15"/>
      <c r="K86" s="16"/>
    </row>
    <row r="87" spans="2:11" ht="12.75">
      <c r="B87" s="14"/>
      <c r="C87" s="15"/>
      <c r="D87" s="15"/>
      <c r="E87" s="15"/>
      <c r="F87" s="15"/>
      <c r="G87" s="15"/>
      <c r="H87" s="27" t="s">
        <v>11</v>
      </c>
      <c r="I87" s="15"/>
      <c r="J87" s="35"/>
      <c r="K87" s="16"/>
    </row>
    <row r="88" spans="2:11" ht="12.75">
      <c r="B88" s="14"/>
      <c r="C88" s="15"/>
      <c r="D88" s="15"/>
      <c r="E88" s="15"/>
      <c r="F88" s="15"/>
      <c r="G88" s="15"/>
      <c r="H88" s="15"/>
      <c r="I88" s="15"/>
      <c r="J88" s="15"/>
      <c r="K88" s="16"/>
    </row>
    <row r="89" spans="2:11" ht="12.75">
      <c r="B89" s="14"/>
      <c r="C89" s="15"/>
      <c r="D89" s="15"/>
      <c r="E89" s="15"/>
      <c r="F89" s="15"/>
      <c r="G89" s="15"/>
      <c r="H89" s="15"/>
      <c r="I89" s="15"/>
      <c r="J89" s="27">
        <f>(F10-0.06)*100</f>
        <v>34</v>
      </c>
      <c r="K89" s="16"/>
    </row>
    <row r="90" spans="2:11" ht="13.5" thickBot="1">
      <c r="B90" s="17"/>
      <c r="C90" s="18"/>
      <c r="D90" s="18"/>
      <c r="E90" s="18"/>
      <c r="F90" s="18"/>
      <c r="G90" s="18"/>
      <c r="H90" s="18"/>
      <c r="I90" s="18"/>
      <c r="J90" s="18"/>
      <c r="K90" s="19"/>
    </row>
    <row r="91" spans="4:14" ht="12.7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115" ht="27.75" customHeight="1"/>
    <row r="119" ht="26.25" customHeight="1"/>
    <row r="151" ht="13.5" customHeight="1"/>
  </sheetData>
  <mergeCells count="7">
    <mergeCell ref="D4:F4"/>
    <mergeCell ref="F82:G82"/>
    <mergeCell ref="F86:G86"/>
    <mergeCell ref="C54:D54"/>
    <mergeCell ref="M21:Q21"/>
    <mergeCell ref="M22:Q22"/>
    <mergeCell ref="F79:G7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80" r:id="rId2"/>
  <headerFooter alignWithMargins="0">
    <oddFooter>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W160"/>
  <sheetViews>
    <sheetView showGridLines="0" zoomScale="75" zoomScaleNormal="75" workbookViewId="0" topLeftCell="A1">
      <selection activeCell="B31" sqref="B31"/>
    </sheetView>
  </sheetViews>
  <sheetFormatPr defaultColWidth="11.421875" defaultRowHeight="12.75"/>
  <cols>
    <col min="1" max="1" width="6.7109375" style="0" customWidth="1"/>
    <col min="2" max="2" width="6.57421875" style="0" customWidth="1"/>
    <col min="3" max="17" width="6.7109375" style="0" customWidth="1"/>
    <col min="18" max="18" width="7.421875" style="0" customWidth="1"/>
    <col min="19" max="19" width="7.28125" style="0" customWidth="1"/>
    <col min="20" max="20" width="9.140625" style="0" customWidth="1"/>
    <col min="21" max="22" width="6.7109375" style="0" customWidth="1"/>
    <col min="23" max="23" width="4.00390625" style="0" customWidth="1"/>
    <col min="24" max="28" width="6.7109375" style="0" customWidth="1"/>
  </cols>
  <sheetData>
    <row r="1" spans="1:17" ht="15.75">
      <c r="A1" s="32"/>
      <c r="B1" s="72" t="s">
        <v>29</v>
      </c>
      <c r="C1" s="73" t="str">
        <f>Coffrage!$C$1</f>
        <v>Grue GT118 chassi 3.80m x 3.80m HSC 30.70m flèche36.00m</v>
      </c>
      <c r="D1" s="32"/>
      <c r="E1" s="32"/>
      <c r="F1" s="32"/>
      <c r="G1" s="32"/>
      <c r="H1" s="32"/>
      <c r="I1" s="32"/>
      <c r="L1" s="32"/>
      <c r="M1" s="32"/>
      <c r="N1" s="72" t="s">
        <v>68</v>
      </c>
      <c r="O1" s="32"/>
      <c r="P1" s="32"/>
      <c r="Q1" s="32"/>
    </row>
    <row r="2" spans="1:17" ht="15.75">
      <c r="A2" s="32"/>
      <c r="B2" s="72"/>
      <c r="C2" s="73"/>
      <c r="D2" s="32"/>
      <c r="E2" s="32"/>
      <c r="F2" s="32"/>
      <c r="G2" s="32"/>
      <c r="H2" s="32"/>
      <c r="I2" s="32"/>
      <c r="J2" s="72"/>
      <c r="K2" s="32"/>
      <c r="L2" s="32"/>
      <c r="M2" s="32"/>
      <c r="N2" s="32"/>
      <c r="O2" s="32"/>
      <c r="P2" s="32"/>
      <c r="Q2" s="32"/>
    </row>
    <row r="3" spans="1:15" ht="15.75">
      <c r="A3" s="32"/>
      <c r="B3" s="32"/>
      <c r="C3" s="32"/>
      <c r="D3" s="32"/>
      <c r="E3" s="32"/>
      <c r="F3" s="32"/>
      <c r="G3" s="32"/>
      <c r="H3" s="72"/>
      <c r="I3" s="32"/>
      <c r="J3" s="32"/>
      <c r="K3" s="32"/>
      <c r="L3" s="32"/>
      <c r="M3" s="32"/>
      <c r="N3" s="32"/>
      <c r="O3" s="32"/>
    </row>
    <row r="4" spans="1:15" ht="15.75">
      <c r="A4" s="32"/>
      <c r="B4" s="32"/>
      <c r="C4" s="32"/>
      <c r="D4" s="32"/>
      <c r="E4" s="32"/>
      <c r="F4" s="32"/>
      <c r="G4" s="32"/>
      <c r="H4" s="72"/>
      <c r="I4" s="32"/>
      <c r="J4" s="32"/>
      <c r="K4" s="32"/>
      <c r="L4" s="32"/>
      <c r="M4" s="32"/>
      <c r="N4" s="32"/>
      <c r="O4" s="32"/>
    </row>
    <row r="5" spans="1:13" ht="16.5" thickBot="1">
      <c r="A5" s="32"/>
      <c r="E5" s="32"/>
      <c r="H5" s="72"/>
      <c r="I5" s="32"/>
      <c r="J5" s="32"/>
      <c r="K5" s="32"/>
      <c r="L5" s="32"/>
      <c r="M5" s="32"/>
    </row>
    <row r="6" spans="1:21" ht="16.5" customHeight="1" thickBot="1">
      <c r="A6" s="32"/>
      <c r="B6" s="61"/>
      <c r="C6" s="63"/>
      <c r="D6" s="166" t="s">
        <v>63</v>
      </c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8"/>
      <c r="P6" s="153" t="s">
        <v>64</v>
      </c>
      <c r="Q6" s="154"/>
      <c r="R6" s="154"/>
      <c r="S6" s="154"/>
      <c r="T6" s="154"/>
      <c r="U6" s="155"/>
    </row>
    <row r="7" spans="1:21" ht="12.75">
      <c r="A7" s="32"/>
      <c r="B7" s="31"/>
      <c r="C7" s="32"/>
      <c r="D7" s="159" t="s">
        <v>58</v>
      </c>
      <c r="E7" s="160"/>
      <c r="F7" s="160" t="s">
        <v>59</v>
      </c>
      <c r="G7" s="160"/>
      <c r="H7" s="160" t="s">
        <v>60</v>
      </c>
      <c r="I7" s="160"/>
      <c r="J7" s="160" t="s">
        <v>61</v>
      </c>
      <c r="K7" s="160"/>
      <c r="L7" s="160" t="s">
        <v>62</v>
      </c>
      <c r="M7" s="160"/>
      <c r="N7" s="160" t="s">
        <v>111</v>
      </c>
      <c r="O7" s="165"/>
      <c r="P7" s="161" t="s">
        <v>58</v>
      </c>
      <c r="Q7" s="147"/>
      <c r="R7" s="147" t="s">
        <v>59</v>
      </c>
      <c r="S7" s="147"/>
      <c r="T7" s="147" t="s">
        <v>60</v>
      </c>
      <c r="U7" s="148"/>
    </row>
    <row r="8" spans="1:21" ht="12.75">
      <c r="A8" s="32"/>
      <c r="B8" s="75" t="s">
        <v>53</v>
      </c>
      <c r="C8" s="97" t="s">
        <v>55</v>
      </c>
      <c r="D8" s="135">
        <v>13</v>
      </c>
      <c r="E8" s="77">
        <v>41</v>
      </c>
      <c r="F8" s="77">
        <v>39</v>
      </c>
      <c r="G8" s="77">
        <v>41</v>
      </c>
      <c r="H8" s="77">
        <v>27</v>
      </c>
      <c r="I8" s="77">
        <v>46</v>
      </c>
      <c r="J8" s="77">
        <v>9</v>
      </c>
      <c r="K8" s="77">
        <v>23</v>
      </c>
      <c r="L8" s="77">
        <v>23</v>
      </c>
      <c r="M8" s="77">
        <v>47</v>
      </c>
      <c r="N8" s="77">
        <v>29</v>
      </c>
      <c r="O8" s="78">
        <v>8</v>
      </c>
      <c r="P8" s="133">
        <v>7</v>
      </c>
      <c r="Q8" s="81">
        <v>46</v>
      </c>
      <c r="R8" s="81">
        <v>46</v>
      </c>
      <c r="S8" s="81">
        <v>46</v>
      </c>
      <c r="T8" s="81">
        <v>38</v>
      </c>
      <c r="U8" s="82">
        <v>59</v>
      </c>
    </row>
    <row r="9" spans="1:21" ht="12.75">
      <c r="A9" s="32"/>
      <c r="B9" s="75" t="s">
        <v>54</v>
      </c>
      <c r="C9" s="97" t="s">
        <v>56</v>
      </c>
      <c r="D9" s="135">
        <v>15</v>
      </c>
      <c r="E9" s="77">
        <v>41</v>
      </c>
      <c r="F9" s="77">
        <v>15</v>
      </c>
      <c r="G9" s="77">
        <v>17</v>
      </c>
      <c r="H9" s="77">
        <v>10</v>
      </c>
      <c r="I9" s="77">
        <v>29</v>
      </c>
      <c r="J9" s="77">
        <v>31</v>
      </c>
      <c r="K9" s="77">
        <v>47</v>
      </c>
      <c r="L9" s="77">
        <v>9</v>
      </c>
      <c r="M9" s="77">
        <v>33</v>
      </c>
      <c r="N9" s="77">
        <v>48</v>
      </c>
      <c r="O9" s="78">
        <v>29</v>
      </c>
      <c r="P9" s="133">
        <v>4</v>
      </c>
      <c r="Q9" s="81">
        <v>46</v>
      </c>
      <c r="R9" s="81">
        <v>7</v>
      </c>
      <c r="S9" s="81">
        <v>7</v>
      </c>
      <c r="T9" s="81">
        <v>0</v>
      </c>
      <c r="U9" s="82">
        <v>29</v>
      </c>
    </row>
    <row r="10" spans="1:21" ht="13.5" thickBot="1">
      <c r="A10" s="32"/>
      <c r="B10" s="76" t="s">
        <v>52</v>
      </c>
      <c r="C10" s="118" t="s">
        <v>57</v>
      </c>
      <c r="D10" s="136">
        <v>3.3</v>
      </c>
      <c r="E10" s="79">
        <v>0.1</v>
      </c>
      <c r="F10" s="79">
        <v>0.9</v>
      </c>
      <c r="G10" s="79">
        <v>2.8</v>
      </c>
      <c r="H10" s="79">
        <v>2.7</v>
      </c>
      <c r="I10" s="79">
        <v>2.9</v>
      </c>
      <c r="J10" s="79">
        <v>0.4</v>
      </c>
      <c r="K10" s="79">
        <v>3.9</v>
      </c>
      <c r="L10" s="79">
        <v>4.7</v>
      </c>
      <c r="M10" s="79">
        <v>0.1</v>
      </c>
      <c r="N10" s="79">
        <v>1.7</v>
      </c>
      <c r="O10" s="80">
        <v>4</v>
      </c>
      <c r="P10" s="134">
        <v>14.1</v>
      </c>
      <c r="Q10" s="83">
        <v>0</v>
      </c>
      <c r="R10" s="83">
        <v>0</v>
      </c>
      <c r="S10" s="83">
        <v>14.1</v>
      </c>
      <c r="T10" s="83">
        <v>10.7</v>
      </c>
      <c r="U10" s="84">
        <v>10.7</v>
      </c>
    </row>
    <row r="11" spans="1:17" ht="15.75">
      <c r="A11" s="32"/>
      <c r="B11" s="72"/>
      <c r="C11" s="73"/>
      <c r="D11" s="32"/>
      <c r="E11" s="32"/>
      <c r="F11" s="32"/>
      <c r="G11" s="32"/>
      <c r="H11" s="32"/>
      <c r="I11" s="32"/>
      <c r="J11" s="72"/>
      <c r="K11" s="32"/>
      <c r="L11" s="32"/>
      <c r="M11" s="32"/>
      <c r="N11" s="32"/>
      <c r="O11" s="32"/>
      <c r="P11" s="32"/>
      <c r="Q11" s="32"/>
    </row>
    <row r="12" spans="1:14" ht="15.75">
      <c r="A12" s="32"/>
      <c r="B12" s="72"/>
      <c r="C12" s="73"/>
      <c r="G12" s="57" t="s">
        <v>72</v>
      </c>
      <c r="H12" s="51">
        <v>13.74</v>
      </c>
      <c r="I12" s="32" t="s">
        <v>48</v>
      </c>
      <c r="J12" s="72"/>
      <c r="L12" s="32"/>
      <c r="M12" s="32"/>
      <c r="N12" s="32"/>
    </row>
    <row r="13" spans="1:19" ht="15.75">
      <c r="A13" s="32"/>
      <c r="G13" s="85" t="s">
        <v>73</v>
      </c>
      <c r="H13" s="74">
        <v>6</v>
      </c>
      <c r="I13" s="6" t="s">
        <v>2</v>
      </c>
      <c r="J13" s="72"/>
      <c r="L13" s="32"/>
      <c r="M13" s="32"/>
      <c r="N13" s="32"/>
      <c r="O13" s="44" t="s">
        <v>65</v>
      </c>
      <c r="P13" s="32"/>
      <c r="Q13" s="32"/>
      <c r="R13" s="32"/>
      <c r="S13" s="32"/>
    </row>
    <row r="14" spans="1:19" ht="15.75">
      <c r="A14" s="32"/>
      <c r="G14" s="86" t="s">
        <v>74</v>
      </c>
      <c r="H14" s="137">
        <v>30</v>
      </c>
      <c r="I14" s="32" t="s">
        <v>18</v>
      </c>
      <c r="J14" s="72"/>
      <c r="L14" s="32"/>
      <c r="M14" s="32"/>
      <c r="N14" s="32"/>
      <c r="O14" s="32"/>
      <c r="P14" s="32"/>
      <c r="Q14" s="32"/>
      <c r="R14" s="32"/>
      <c r="S14" s="32"/>
    </row>
    <row r="15" spans="1:19" ht="15.75">
      <c r="A15" s="32"/>
      <c r="G15" s="86" t="s">
        <v>75</v>
      </c>
      <c r="H15" s="51">
        <v>1.8</v>
      </c>
      <c r="I15" s="32" t="s">
        <v>19</v>
      </c>
      <c r="J15" s="72"/>
      <c r="L15" s="32"/>
      <c r="M15" s="32"/>
      <c r="N15" s="32"/>
      <c r="O15" s="32"/>
      <c r="P15" s="32"/>
      <c r="Q15" s="93" t="s">
        <v>66</v>
      </c>
      <c r="R15" s="32"/>
      <c r="S15" s="32"/>
    </row>
    <row r="16" spans="4:19" ht="15.75" customHeight="1">
      <c r="D16" s="94" t="s">
        <v>70</v>
      </c>
      <c r="F16" s="57"/>
      <c r="J16" s="72"/>
      <c r="L16" s="32"/>
      <c r="M16" s="32"/>
      <c r="N16" s="32"/>
      <c r="O16" s="32"/>
      <c r="P16" s="32"/>
      <c r="Q16" s="92"/>
      <c r="R16" s="32"/>
      <c r="S16" s="32"/>
    </row>
    <row r="17" spans="1:22" ht="15.75">
      <c r="A17" s="32"/>
      <c r="G17" s="95" t="s">
        <v>76</v>
      </c>
      <c r="H17" s="59">
        <v>0</v>
      </c>
      <c r="I17" s="60" t="s">
        <v>21</v>
      </c>
      <c r="J17" s="72"/>
      <c r="L17" s="33" t="s">
        <v>85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ht="15.75">
      <c r="A18" s="32"/>
      <c r="D18" s="94" t="s">
        <v>71</v>
      </c>
      <c r="J18" s="72"/>
      <c r="L18" s="104">
        <f>Coffrage!I35-Coffrage!F42</f>
        <v>3.4600000000000364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ht="15.75" customHeight="1">
      <c r="A19" s="32"/>
      <c r="C19" s="94"/>
      <c r="G19" s="95" t="s">
        <v>77</v>
      </c>
      <c r="H19" s="59">
        <v>0</v>
      </c>
      <c r="I19" s="32"/>
      <c r="J19" s="72"/>
      <c r="L19" s="33" t="s">
        <v>86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ht="15.75">
      <c r="A20" s="32"/>
      <c r="D20" s="32"/>
      <c r="E20" s="32"/>
      <c r="F20" s="32"/>
      <c r="G20" s="57" t="s">
        <v>78</v>
      </c>
      <c r="H20" s="58">
        <f>(TAN(PI()/4-H14*PI()/360))^-2</f>
        <v>2.999999999999999</v>
      </c>
      <c r="I20" s="32"/>
      <c r="J20" s="7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15.75">
      <c r="A21" s="32"/>
      <c r="B21" s="72"/>
      <c r="C21" s="73"/>
      <c r="H21" s="32"/>
      <c r="I21" s="32"/>
      <c r="J21" s="7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1:22" ht="12.75">
      <c r="A22" s="53"/>
      <c r="B22" s="53"/>
      <c r="J22" s="53"/>
      <c r="L22" s="53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 ht="13.5" thickBot="1">
      <c r="A23" s="32"/>
      <c r="B23" s="15"/>
      <c r="L23" s="32"/>
      <c r="M23" s="52" t="s">
        <v>27</v>
      </c>
      <c r="N23" s="32"/>
      <c r="O23" s="32"/>
      <c r="P23" s="32"/>
      <c r="Q23" s="32"/>
      <c r="R23" s="32"/>
      <c r="S23" s="32"/>
      <c r="T23" s="32"/>
      <c r="U23" s="32"/>
      <c r="V23" s="32"/>
    </row>
    <row r="24" spans="1:22" ht="12.75">
      <c r="A24" s="32"/>
      <c r="D24" s="156" t="s">
        <v>17</v>
      </c>
      <c r="E24" s="157"/>
      <c r="F24" s="157"/>
      <c r="G24" s="157"/>
      <c r="H24" s="157"/>
      <c r="I24" s="157"/>
      <c r="J24" s="158"/>
      <c r="L24" s="32"/>
      <c r="M24" s="33" t="s">
        <v>26</v>
      </c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2.75">
      <c r="A25" s="32"/>
      <c r="D25" s="31"/>
      <c r="E25" s="32"/>
      <c r="F25" s="32"/>
      <c r="G25" s="32"/>
      <c r="H25" s="15"/>
      <c r="I25" s="32"/>
      <c r="J25" s="64"/>
      <c r="L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2.75">
      <c r="A26" s="32"/>
      <c r="D26" s="31"/>
      <c r="E26" s="15"/>
      <c r="F26" s="32"/>
      <c r="G26" s="87" t="s">
        <v>25</v>
      </c>
      <c r="H26" s="88">
        <f>MAX(D8:O9)</f>
        <v>48</v>
      </c>
      <c r="I26" s="15" t="s">
        <v>12</v>
      </c>
      <c r="J26" s="64"/>
      <c r="L26" s="32"/>
      <c r="M26" s="57" t="s">
        <v>67</v>
      </c>
      <c r="N26" s="32"/>
      <c r="O26" s="32"/>
      <c r="P26" s="32"/>
      <c r="Q26" s="32"/>
      <c r="R26" s="32"/>
      <c r="S26" s="32"/>
      <c r="T26" s="32"/>
      <c r="U26" s="32"/>
      <c r="V26" s="32"/>
    </row>
    <row r="27" spans="1:22" ht="12.75">
      <c r="A27" s="32"/>
      <c r="D27" s="31"/>
      <c r="E27" s="15"/>
      <c r="F27" s="32"/>
      <c r="G27" s="87" t="s">
        <v>35</v>
      </c>
      <c r="H27" s="43">
        <f>Coffrage!H4</f>
        <v>1.4</v>
      </c>
      <c r="I27" s="15" t="s">
        <v>0</v>
      </c>
      <c r="J27" s="64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2.75">
      <c r="A28" s="32"/>
      <c r="D28" s="31"/>
      <c r="E28" s="15"/>
      <c r="F28" s="32"/>
      <c r="G28" s="87" t="s">
        <v>16</v>
      </c>
      <c r="H28" s="37">
        <f>SQRT(H26/H13/10)*100</f>
        <v>89.44271909999159</v>
      </c>
      <c r="I28" s="15" t="s">
        <v>14</v>
      </c>
      <c r="J28" s="64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1:22" ht="12.75">
      <c r="A29" s="32"/>
      <c r="D29" s="31"/>
      <c r="E29" s="15"/>
      <c r="F29" s="32"/>
      <c r="G29" s="87" t="s">
        <v>13</v>
      </c>
      <c r="H29" s="37">
        <f>((H28/100-0.2)/4+0.05)*100</f>
        <v>22.360679774997898</v>
      </c>
      <c r="I29" s="15" t="s">
        <v>14</v>
      </c>
      <c r="J29" s="71">
        <f>IF(H29/100&gt;Coffrage!J15,"Augmenter hauteur semelle","")</f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3.5" thickBot="1">
      <c r="A30" s="32"/>
      <c r="D30" s="17"/>
      <c r="E30" s="89"/>
      <c r="F30" s="65"/>
      <c r="G30" s="90" t="s">
        <v>22</v>
      </c>
      <c r="H30" s="91">
        <f>Coffrage!H4^2*H13*10*1.4/4.35/8*(Coffrage!H4-0.2)/(Coffrage!J15-0.05)</f>
        <v>7.569655172413792</v>
      </c>
      <c r="I30" s="89" t="s">
        <v>15</v>
      </c>
      <c r="J30" s="66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12.75">
      <c r="A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1:22" ht="12.75">
      <c r="A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ht="12.75">
      <c r="A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69" customHeight="1">
      <c r="A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1:22" ht="12.75">
      <c r="A35" s="32"/>
      <c r="B35" s="15"/>
      <c r="C35" s="15"/>
      <c r="D35" s="15"/>
      <c r="E35" s="15"/>
      <c r="F35" s="15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1:22" ht="43.5" customHeight="1">
      <c r="A36" s="32"/>
      <c r="B36" s="72" t="s">
        <v>29</v>
      </c>
      <c r="C36" s="73" t="str">
        <f>Coffrage!$C$1</f>
        <v>Grue GT118 chassi 3.80m x 3.80m HSC 30.70m flèche36.00m</v>
      </c>
      <c r="D36" s="32"/>
      <c r="E36" s="32"/>
      <c r="F36" s="32"/>
      <c r="G36" s="32"/>
      <c r="H36" s="32"/>
      <c r="I36" s="32"/>
      <c r="L36" s="32"/>
      <c r="N36" s="72" t="s">
        <v>69</v>
      </c>
      <c r="O36" s="32"/>
      <c r="P36" s="32"/>
      <c r="Q36" s="32"/>
      <c r="R36" s="32"/>
      <c r="S36" s="32"/>
      <c r="T36" s="32"/>
      <c r="U36" s="32"/>
      <c r="V36" s="32"/>
    </row>
    <row r="37" spans="1:22" ht="21.75" customHeight="1">
      <c r="A37" s="32"/>
      <c r="I37" s="56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ht="30" customHeight="1">
      <c r="A38" s="32"/>
      <c r="C38" s="32"/>
      <c r="D38" s="32"/>
      <c r="F38" s="57" t="s">
        <v>101</v>
      </c>
      <c r="G38" s="58">
        <f>0.5*H20*H15*Coffrage!J15^2</f>
        <v>1.728</v>
      </c>
      <c r="H38" s="32" t="s">
        <v>20</v>
      </c>
      <c r="J38" s="32"/>
      <c r="K38" s="32"/>
      <c r="L38" s="105"/>
      <c r="M38" s="105"/>
      <c r="N38" s="105"/>
      <c r="O38" s="105"/>
      <c r="P38" s="105"/>
      <c r="Q38" s="105"/>
      <c r="R38" s="105"/>
      <c r="S38" s="32"/>
      <c r="T38" s="32"/>
      <c r="U38" s="32"/>
      <c r="V38" s="32"/>
    </row>
    <row r="39" spans="1:22" ht="12.75">
      <c r="A39" s="32"/>
      <c r="B39" s="32"/>
      <c r="C39" s="32"/>
      <c r="D39" s="32"/>
      <c r="K39" s="96" t="s">
        <v>58</v>
      </c>
      <c r="L39" s="96" t="s">
        <v>59</v>
      </c>
      <c r="M39" s="96" t="s">
        <v>60</v>
      </c>
      <c r="N39" s="96" t="s">
        <v>61</v>
      </c>
      <c r="O39" s="96" t="s">
        <v>62</v>
      </c>
      <c r="P39" s="96" t="s">
        <v>111</v>
      </c>
      <c r="Q39" s="32"/>
      <c r="R39" s="32"/>
      <c r="S39" s="32"/>
      <c r="T39" s="32"/>
      <c r="U39" s="32"/>
      <c r="V39" s="32"/>
    </row>
    <row r="40" spans="1:22" ht="12.75">
      <c r="A40" s="32"/>
      <c r="B40" s="97"/>
      <c r="C40" s="99"/>
      <c r="D40" s="99"/>
      <c r="E40" s="99"/>
      <c r="F40" s="99"/>
      <c r="G40" s="99"/>
      <c r="H40" s="99"/>
      <c r="I40" s="99"/>
      <c r="J40" s="102" t="s">
        <v>102</v>
      </c>
      <c r="K40" s="96">
        <f>SQRT(D10^2+E10^2)</f>
        <v>3.3015148038438356</v>
      </c>
      <c r="L40" s="98">
        <f>SQRT(G10^2+F10^2)</f>
        <v>2.9410882339705484</v>
      </c>
      <c r="M40" s="98">
        <f>SQRT(H10^2+I10^2)</f>
        <v>3.96232255123179</v>
      </c>
      <c r="N40" s="98">
        <f>SQRT(K10^2+J10^2)</f>
        <v>3.9204591567825315</v>
      </c>
      <c r="O40" s="98">
        <f>SQRT(L10^2+M10^2)</f>
        <v>4.701063709417264</v>
      </c>
      <c r="P40" s="98">
        <f>SQRT(O10^2+N10^2)</f>
        <v>4.346262762420146</v>
      </c>
      <c r="Q40" s="32"/>
      <c r="R40" s="32"/>
      <c r="S40" s="32"/>
      <c r="T40" s="32"/>
      <c r="U40" s="32"/>
      <c r="V40" s="32"/>
    </row>
    <row r="41" spans="1:22" ht="12.75">
      <c r="A41" s="32"/>
      <c r="B41" s="97"/>
      <c r="C41" s="99"/>
      <c r="D41" s="99"/>
      <c r="E41" s="99"/>
      <c r="F41" s="99"/>
      <c r="G41" s="99"/>
      <c r="H41" s="99"/>
      <c r="I41" s="99"/>
      <c r="J41" s="102" t="s">
        <v>79</v>
      </c>
      <c r="K41" s="97">
        <f>H12</f>
        <v>13.74</v>
      </c>
      <c r="L41" s="97"/>
      <c r="M41" s="99"/>
      <c r="N41" s="99"/>
      <c r="O41" s="100"/>
      <c r="P41" s="100"/>
      <c r="Q41" s="32"/>
      <c r="R41" s="32"/>
      <c r="S41" s="32"/>
      <c r="T41" s="32"/>
      <c r="U41" s="32"/>
      <c r="V41" s="32"/>
    </row>
    <row r="42" spans="2:16" ht="12.75">
      <c r="B42" s="97"/>
      <c r="C42" s="99"/>
      <c r="D42" s="99"/>
      <c r="E42" s="99"/>
      <c r="F42" s="99"/>
      <c r="G42" s="99"/>
      <c r="H42" s="99"/>
      <c r="I42" s="99"/>
      <c r="J42" s="102" t="s">
        <v>44</v>
      </c>
      <c r="K42" s="101">
        <f aca="true" t="shared" si="0" ref="K42:P42">IF($H$12=0,0,K43*K40/$H$12)</f>
        <v>0</v>
      </c>
      <c r="L42" s="101">
        <f t="shared" si="0"/>
        <v>0</v>
      </c>
      <c r="M42" s="101">
        <f t="shared" si="0"/>
        <v>0</v>
      </c>
      <c r="N42" s="101">
        <f t="shared" si="0"/>
        <v>0</v>
      </c>
      <c r="O42" s="101">
        <f t="shared" si="0"/>
        <v>0</v>
      </c>
      <c r="P42" s="101">
        <f t="shared" si="0"/>
        <v>0</v>
      </c>
    </row>
    <row r="43" spans="2:16" ht="14.25">
      <c r="B43" s="97"/>
      <c r="C43" s="99"/>
      <c r="D43" s="99"/>
      <c r="E43" s="99"/>
      <c r="F43" s="99"/>
      <c r="G43" s="99"/>
      <c r="H43" s="99"/>
      <c r="I43" s="99"/>
      <c r="J43" s="102" t="s">
        <v>43</v>
      </c>
      <c r="K43" s="101">
        <f>IF($H$12=0,0,K44*K41/$H$12)</f>
        <v>0</v>
      </c>
      <c r="L43" s="101">
        <f>IF($H$19=0,0,$G$38*(L40/$H$12/$H$17+(1/$H$19/(Coffrage!$F$28+Coffrage!$H$4)^2))^-1)</f>
        <v>0</v>
      </c>
      <c r="M43" s="101">
        <f>IF($H$19=0,0,$G$38*(M40/$H$12/$H$17+(1/$H$19/(Coffrage!$F$28+Coffrage!$H$4)^2))^-1)</f>
        <v>0</v>
      </c>
      <c r="N43" s="101">
        <f>IF($H$19=0,0,$G$38*(N40/$H$12/$H$17+(1/$H$19/(Coffrage!$F$28+Coffrage!$H$4)^2))^-1)</f>
        <v>0</v>
      </c>
      <c r="O43" s="101">
        <f>IF($H$19=0,0,$G$38*(O40/$H$12/$H$17+(1/$H$19/(Coffrage!$F$28+Coffrage!$H$4)^2))^-1)</f>
        <v>0</v>
      </c>
      <c r="P43" s="101">
        <f>IF($H$19=0,0,$G$38*(P40/$H$12/$H$17+(1/$H$19/(Coffrage!$F$28+Coffrage!$H$4)^2))^-1)</f>
        <v>0</v>
      </c>
    </row>
    <row r="44" spans="2:10" ht="12.75">
      <c r="B44" s="103" t="s">
        <v>23</v>
      </c>
      <c r="C44" s="99"/>
      <c r="D44" s="99"/>
      <c r="E44" s="99"/>
      <c r="F44" s="99"/>
      <c r="G44" s="99"/>
      <c r="H44" s="99"/>
      <c r="I44" s="99"/>
      <c r="J44" s="99"/>
    </row>
    <row r="45" spans="2:16" ht="12.75">
      <c r="B45" s="97"/>
      <c r="C45" s="99"/>
      <c r="D45" s="99"/>
      <c r="E45" s="99"/>
      <c r="F45" s="99"/>
      <c r="G45" s="99"/>
      <c r="H45" s="99"/>
      <c r="I45" s="99"/>
      <c r="J45" s="102" t="s">
        <v>81</v>
      </c>
      <c r="K45" s="96">
        <f>IF(D10*(K40-K42)/K40&lt;0,0,D10*(K40-K42)/K40)</f>
        <v>3.3</v>
      </c>
      <c r="L45" s="96">
        <f>IF(F10*(L40-L42)/L40&lt;0,0,F10*(L40-L42)/L40)</f>
        <v>0.9000000000000001</v>
      </c>
      <c r="M45" s="96">
        <f>IF(H10*(M40-M42)/M40&lt;0,0,H10*(M40-M42)/M40)</f>
        <v>2.7</v>
      </c>
      <c r="N45" s="96">
        <f>IF(J10*(N40-N42)/N40&lt;0,0,J10*(N40-N42)/N40)</f>
        <v>0.4</v>
      </c>
      <c r="O45" s="96">
        <f>IF(L10*(O40-O42)/O40&lt;0,0,L10*(O40-O42)/O40)</f>
        <v>4.7</v>
      </c>
      <c r="P45" s="96">
        <f>IF(N10*(P40-P42)/P40&lt;0,0,N10*(P40-P42)/P40)</f>
        <v>1.7</v>
      </c>
    </row>
    <row r="46" spans="2:16" ht="12.75">
      <c r="B46" s="97"/>
      <c r="C46" s="99"/>
      <c r="D46" s="99"/>
      <c r="E46" s="99"/>
      <c r="F46" s="99"/>
      <c r="G46" s="99"/>
      <c r="H46" s="99"/>
      <c r="I46" s="99"/>
      <c r="J46" s="102" t="s">
        <v>82</v>
      </c>
      <c r="K46" s="96">
        <f>IF(E10*(K40-K42)/K40&lt;0,0,E10*(K40-K42)/K40)</f>
        <v>0.1</v>
      </c>
      <c r="L46" s="96">
        <f>IF(G10*(L40-L42)/L40&lt;0,0,G10*(L40-L42)/L40)</f>
        <v>2.8</v>
      </c>
      <c r="M46" s="96">
        <f>IF(I10*(M40-M42)/M40&lt;0,0,I10*(M40-M42)/M40)</f>
        <v>2.9</v>
      </c>
      <c r="N46" s="96">
        <f>IF(K10*(N40-N42)/N40&lt;0,0,K10*(N40-N42)/N40)</f>
        <v>3.9</v>
      </c>
      <c r="O46" s="96">
        <f>IF(M10*(O40-O42)/O40&lt;0,0,M10*(O40-O42)/O40)</f>
        <v>0.1</v>
      </c>
      <c r="P46" s="96">
        <f>IF(O10*(P40-P42)/P40&lt;0,0,O10*(P40-P42)/P40)</f>
        <v>4</v>
      </c>
    </row>
    <row r="47" spans="2:16" ht="12.75">
      <c r="B47" s="97"/>
      <c r="C47" s="99"/>
      <c r="D47" s="99"/>
      <c r="E47" s="99"/>
      <c r="F47" s="99"/>
      <c r="G47" s="99"/>
      <c r="H47" s="99"/>
      <c r="I47" s="99"/>
      <c r="J47" s="102" t="s">
        <v>80</v>
      </c>
      <c r="K47" s="101">
        <f aca="true" t="shared" si="1" ref="K47:P47">$K$41-K43</f>
        <v>13.74</v>
      </c>
      <c r="L47" s="101">
        <f t="shared" si="1"/>
        <v>13.74</v>
      </c>
      <c r="M47" s="101">
        <f t="shared" si="1"/>
        <v>13.74</v>
      </c>
      <c r="N47" s="101">
        <f t="shared" si="1"/>
        <v>13.74</v>
      </c>
      <c r="O47" s="101">
        <f t="shared" si="1"/>
        <v>13.74</v>
      </c>
      <c r="P47" s="101">
        <f t="shared" si="1"/>
        <v>13.74</v>
      </c>
    </row>
    <row r="48" ht="35.25" customHeight="1" thickBot="1"/>
    <row r="49" spans="2:14" ht="15.75">
      <c r="B49" s="151" t="s">
        <v>89</v>
      </c>
      <c r="C49" s="152"/>
      <c r="D49" s="152"/>
      <c r="E49" s="152"/>
      <c r="F49" s="152"/>
      <c r="G49" s="115" t="s">
        <v>90</v>
      </c>
      <c r="H49" s="115" t="s">
        <v>91</v>
      </c>
      <c r="I49" s="115" t="s">
        <v>92</v>
      </c>
      <c r="J49" s="115" t="s">
        <v>93</v>
      </c>
      <c r="K49" s="116"/>
      <c r="M49" s="72" t="s">
        <v>29</v>
      </c>
      <c r="N49" s="73" t="str">
        <f>Coffrage!$C$1</f>
        <v>Grue GT118 chassi 3.80m x 3.80m HSC 30.70m flèche36.00m</v>
      </c>
    </row>
    <row r="50" spans="2:11" ht="12.75">
      <c r="B50" s="149" t="s">
        <v>58</v>
      </c>
      <c r="C50" s="97"/>
      <c r="D50" s="99"/>
      <c r="E50" s="99"/>
      <c r="F50" s="108" t="s">
        <v>83</v>
      </c>
      <c r="G50" s="109">
        <v>-0.09732815623283386</v>
      </c>
      <c r="H50" s="109">
        <v>-0.30695801973342896</v>
      </c>
      <c r="I50" s="109">
        <v>0.9922193884849548</v>
      </c>
      <c r="J50" s="109">
        <v>2.712066411972046</v>
      </c>
      <c r="K50" s="117" t="s">
        <v>41</v>
      </c>
    </row>
    <row r="51" spans="2:13" ht="15.75">
      <c r="B51" s="149"/>
      <c r="C51" s="97"/>
      <c r="D51" s="99"/>
      <c r="E51" s="99"/>
      <c r="F51" s="108" t="s">
        <v>84</v>
      </c>
      <c r="G51" s="109">
        <v>-0.7017694711685181</v>
      </c>
      <c r="H51" s="109">
        <v>0.805751621723175</v>
      </c>
      <c r="I51" s="109">
        <v>-0.809734046459198</v>
      </c>
      <c r="J51" s="109">
        <v>0.805751621723175</v>
      </c>
      <c r="K51" s="117" t="s">
        <v>41</v>
      </c>
      <c r="M51" s="72" t="s">
        <v>69</v>
      </c>
    </row>
    <row r="52" spans="2:11" ht="12.75">
      <c r="B52" s="149"/>
      <c r="C52" s="97"/>
      <c r="D52" s="99"/>
      <c r="E52" s="99"/>
      <c r="F52" s="108" t="s">
        <v>87</v>
      </c>
      <c r="G52" s="109">
        <f>SQRT(G50^2+G51^2)</f>
        <v>0.708486528213363</v>
      </c>
      <c r="H52" s="109">
        <f>SQRT(H50^2+H51^2)</f>
        <v>0.8622406287041888</v>
      </c>
      <c r="I52" s="109">
        <f>SQRT(I50^2+I51^2)</f>
        <v>1.2806906499544082</v>
      </c>
      <c r="J52" s="109">
        <f>SQRT(J50^2+J51^2)</f>
        <v>2.8292295592363046</v>
      </c>
      <c r="K52" s="117" t="s">
        <v>41</v>
      </c>
    </row>
    <row r="53" spans="2:11" ht="12.75">
      <c r="B53" s="149"/>
      <c r="C53" s="97"/>
      <c r="D53" s="99"/>
      <c r="E53" s="99"/>
      <c r="F53" s="108" t="s">
        <v>100</v>
      </c>
      <c r="G53" s="109">
        <f>G52*$L$18</f>
        <v>2.4513633876182617</v>
      </c>
      <c r="H53" s="109">
        <f>H52*$L$18</f>
        <v>2.9833525753165246</v>
      </c>
      <c r="I53" s="109">
        <f>I52*$L$18</f>
        <v>4.431189648842299</v>
      </c>
      <c r="J53" s="109">
        <f>J52*$L$18</f>
        <v>9.789134274957716</v>
      </c>
      <c r="K53" s="117" t="s">
        <v>48</v>
      </c>
    </row>
    <row r="54" spans="2:11" ht="12.75">
      <c r="B54" s="149"/>
      <c r="C54" s="97"/>
      <c r="D54" s="99"/>
      <c r="E54" s="99"/>
      <c r="F54" s="108" t="s">
        <v>88</v>
      </c>
      <c r="G54" s="109">
        <f>IF(G52=0,0,G53/$D$8*G50/G52)</f>
        <v>-0.02590426312043144</v>
      </c>
      <c r="H54" s="109">
        <f>IF(H52=0,0,H53/$E$8*H50/H52)</f>
        <v>-0.025904262153114033</v>
      </c>
      <c r="I54" s="109">
        <f>IF(I52=0,0,I53/$D$9*I50/I52)</f>
        <v>0.22887193894386532</v>
      </c>
      <c r="J54" s="109">
        <f>IF(J52=0,0,J53/$E$9*J50/J52)</f>
        <v>0.22887194598593602</v>
      </c>
      <c r="K54" s="117" t="s">
        <v>0</v>
      </c>
    </row>
    <row r="55" spans="2:11" ht="12.75">
      <c r="B55" s="149"/>
      <c r="C55" s="97"/>
      <c r="D55" s="99"/>
      <c r="E55" s="99"/>
      <c r="F55" s="108" t="s">
        <v>94</v>
      </c>
      <c r="G55" s="109">
        <f>IF(G52=0,0,G53/$D$8*G51/G52)</f>
        <v>-0.18677864386485368</v>
      </c>
      <c r="H55" s="109">
        <f>IF(H52=0,0,H53/$E$8*H51/H52)</f>
        <v>0.06799757588200524</v>
      </c>
      <c r="I55" s="109">
        <f>IF(I52=0,0,I53/$D$9*I51/I52)</f>
        <v>-0.18677865338325694</v>
      </c>
      <c r="J55" s="109">
        <f>IF(J52=0,0,J53/$E$9*J51/J52)</f>
        <v>0.06799757588200524</v>
      </c>
      <c r="K55" s="117" t="s">
        <v>0</v>
      </c>
    </row>
    <row r="56" spans="2:11" ht="12.75">
      <c r="B56" s="149"/>
      <c r="C56" s="97"/>
      <c r="D56" s="99"/>
      <c r="E56" s="99"/>
      <c r="F56" s="108" t="s">
        <v>95</v>
      </c>
      <c r="G56" s="109">
        <f>Coffrage!$H$4-2*G54</f>
        <v>1.4518085262408629</v>
      </c>
      <c r="H56" s="109">
        <f>Coffrage!$H$4-2*H54</f>
        <v>1.451808524306228</v>
      </c>
      <c r="I56" s="109">
        <f>Coffrage!$H$4-2*I54</f>
        <v>0.9422561221122693</v>
      </c>
      <c r="J56" s="109">
        <f>Coffrage!$H$4-2*J54</f>
        <v>0.9422561080281279</v>
      </c>
      <c r="K56" s="117" t="s">
        <v>0</v>
      </c>
    </row>
    <row r="57" spans="2:11" ht="12.75">
      <c r="B57" s="149"/>
      <c r="C57" s="97"/>
      <c r="D57" s="99"/>
      <c r="E57" s="99"/>
      <c r="F57" s="108" t="s">
        <v>96</v>
      </c>
      <c r="G57" s="110">
        <f>Coffrage!$H$4-2*G55</f>
        <v>1.7735572877297072</v>
      </c>
      <c r="H57" s="110">
        <f>Coffrage!$H$4-2*H55</f>
        <v>1.2640048482359894</v>
      </c>
      <c r="I57" s="110">
        <f>Coffrage!$H$4-2*I55</f>
        <v>1.7735573067665138</v>
      </c>
      <c r="J57" s="110">
        <f>Coffrage!$H$4-2*J55</f>
        <v>1.2640048482359894</v>
      </c>
      <c r="K57" s="117" t="s">
        <v>0</v>
      </c>
    </row>
    <row r="58" spans="2:11" ht="12.75">
      <c r="B58" s="149"/>
      <c r="C58" s="97"/>
      <c r="D58" s="99"/>
      <c r="E58" s="99"/>
      <c r="F58" s="107" t="s">
        <v>98</v>
      </c>
      <c r="G58" s="111"/>
      <c r="H58" s="112"/>
      <c r="I58" s="112"/>
      <c r="J58" s="113"/>
      <c r="K58" s="117"/>
    </row>
    <row r="59" spans="2:12" ht="12.75">
      <c r="B59" s="149"/>
      <c r="C59" s="97"/>
      <c r="D59" s="99"/>
      <c r="E59" s="99"/>
      <c r="F59" s="108" t="s">
        <v>97</v>
      </c>
      <c r="G59" s="114">
        <f>IF(G54*G55=0,0,D8/G56/G57)</f>
        <v>5.048807223131339</v>
      </c>
      <c r="H59" s="114">
        <f>IF(H54*H55=0,0,E8/H56/H57)</f>
        <v>22.342191758057055</v>
      </c>
      <c r="I59" s="114">
        <f>IF(I54*I55=0,0,D9/I56/I57)</f>
        <v>8.975880569066993</v>
      </c>
      <c r="J59" s="114">
        <f>IF(J54*J55=0,0,E9/J56/J57)</f>
        <v>34.42438225623399</v>
      </c>
      <c r="K59" s="117" t="s">
        <v>116</v>
      </c>
      <c r="L59" s="106">
        <f>IF(MAX(G59:J59)&gt;$H$13*10,"Dépassement de la contrainte admissible du sol","")</f>
      </c>
    </row>
    <row r="60" spans="2:12" ht="12.75">
      <c r="B60" s="149"/>
      <c r="C60" s="97"/>
      <c r="D60" s="99"/>
      <c r="E60" s="99"/>
      <c r="F60" s="107" t="s">
        <v>42</v>
      </c>
      <c r="G60" s="111"/>
      <c r="H60" s="112"/>
      <c r="I60" s="112"/>
      <c r="J60" s="113"/>
      <c r="K60" s="117"/>
      <c r="L60" s="106"/>
    </row>
    <row r="61" spans="2:12" ht="13.5" thickBot="1">
      <c r="B61" s="150"/>
      <c r="C61" s="118"/>
      <c r="D61" s="119"/>
      <c r="E61" s="119"/>
      <c r="F61" s="120" t="s">
        <v>99</v>
      </c>
      <c r="G61" s="121">
        <f>D8/TAN($H$14*PI()/180)/1.5</f>
        <v>15.011106998930272</v>
      </c>
      <c r="H61" s="121">
        <f>E8/TAN($H$14*PI()/180)/1.5</f>
        <v>47.34272207354931</v>
      </c>
      <c r="I61" s="121">
        <f>D9/TAN($H$14*PI()/180)/1.5</f>
        <v>17.320508075688775</v>
      </c>
      <c r="J61" s="121">
        <f>E9/TAN($H$14*PI()/180)/1.5</f>
        <v>47.34272207354931</v>
      </c>
      <c r="K61" s="122" t="s">
        <v>41</v>
      </c>
      <c r="L61" s="106">
        <f>IF(G61&lt;G52,"Instable au glissement",IF(H61&lt;H52,"Instable au glissement",IF(I61&lt;I52,"Instable au glissement",IF(J61&lt;J52,"Instable au glissement",""))))</f>
      </c>
    </row>
    <row r="62" spans="2:11" ht="12.75">
      <c r="B62" s="151" t="s">
        <v>89</v>
      </c>
      <c r="C62" s="152"/>
      <c r="D62" s="152"/>
      <c r="E62" s="152"/>
      <c r="F62" s="152"/>
      <c r="G62" s="115" t="s">
        <v>90</v>
      </c>
      <c r="H62" s="115" t="s">
        <v>91</v>
      </c>
      <c r="I62" s="115" t="s">
        <v>92</v>
      </c>
      <c r="J62" s="115" t="s">
        <v>93</v>
      </c>
      <c r="K62" s="116"/>
    </row>
    <row r="63" spans="2:11" ht="12.75">
      <c r="B63" s="149" t="s">
        <v>59</v>
      </c>
      <c r="C63" s="97"/>
      <c r="D63" s="99"/>
      <c r="E63" s="99"/>
      <c r="F63" s="108" t="s">
        <v>83</v>
      </c>
      <c r="G63" s="109">
        <v>0.29386430978775024</v>
      </c>
      <c r="H63" s="109">
        <v>0.3089343011379242</v>
      </c>
      <c r="I63" s="109">
        <v>1.2294254302978516</v>
      </c>
      <c r="J63" s="109">
        <v>1.3933489322662354</v>
      </c>
      <c r="K63" s="117" t="s">
        <v>41</v>
      </c>
    </row>
    <row r="64" spans="2:11" ht="12.75">
      <c r="B64" s="149"/>
      <c r="C64" s="97"/>
      <c r="D64" s="99"/>
      <c r="E64" s="99"/>
      <c r="F64" s="108" t="s">
        <v>84</v>
      </c>
      <c r="G64" s="109">
        <v>-2.168076515197754</v>
      </c>
      <c r="H64" s="109">
        <v>0.7722353935241699</v>
      </c>
      <c r="I64" s="109">
        <v>-0.8338755965232849</v>
      </c>
      <c r="J64" s="109">
        <v>0.32019516825675964</v>
      </c>
      <c r="K64" s="117" t="s">
        <v>41</v>
      </c>
    </row>
    <row r="65" spans="2:11" ht="12.75">
      <c r="B65" s="149"/>
      <c r="C65" s="97"/>
      <c r="D65" s="99"/>
      <c r="E65" s="99"/>
      <c r="F65" s="108" t="s">
        <v>87</v>
      </c>
      <c r="G65" s="109">
        <f>SQRT(G63^2+G64^2)</f>
        <v>2.1879012793814687</v>
      </c>
      <c r="H65" s="109">
        <f>SQRT(H63^2+H64^2)</f>
        <v>0.8317378826475365</v>
      </c>
      <c r="I65" s="109">
        <f>SQRT(I63^2+I64^2)</f>
        <v>1.4855421229773735</v>
      </c>
      <c r="J65" s="109">
        <f>SQRT(J63^2+J64^2)</f>
        <v>1.429666462089124</v>
      </c>
      <c r="K65" s="117" t="s">
        <v>41</v>
      </c>
    </row>
    <row r="66" spans="2:11" ht="12.75">
      <c r="B66" s="149"/>
      <c r="C66" s="97"/>
      <c r="D66" s="99"/>
      <c r="E66" s="99"/>
      <c r="F66" s="108" t="s">
        <v>100</v>
      </c>
      <c r="G66" s="109">
        <f>G65*$L$18</f>
        <v>7.570138426659962</v>
      </c>
      <c r="H66" s="109">
        <f>H65*$L$18</f>
        <v>2.8778130739605063</v>
      </c>
      <c r="I66" s="109">
        <f>I65*$L$18</f>
        <v>5.139975745501767</v>
      </c>
      <c r="J66" s="109">
        <f>J65*$L$18</f>
        <v>4.946645958828421</v>
      </c>
      <c r="K66" s="117" t="s">
        <v>48</v>
      </c>
    </row>
    <row r="67" spans="2:11" ht="12.75">
      <c r="B67" s="149"/>
      <c r="C67" s="97"/>
      <c r="D67" s="99"/>
      <c r="E67" s="99"/>
      <c r="F67" s="108" t="s">
        <v>88</v>
      </c>
      <c r="G67" s="109">
        <f>IF(G65=0,0,G66/$F$8*G63/G65)</f>
        <v>0.026071038765785298</v>
      </c>
      <c r="H67" s="109">
        <f>IF(H65=0,0,H66/$G$8*H63/H65)</f>
        <v>0.026071041022859242</v>
      </c>
      <c r="I67" s="109">
        <f>IF(I65=0,0,I66/$F$9*I63/I65)</f>
        <v>0.28358746592204076</v>
      </c>
      <c r="J67" s="109">
        <f>IF(J65=0,0,J66/$G$9*J63/J65)</f>
        <v>0.2835874885671309</v>
      </c>
      <c r="K67" s="117" t="s">
        <v>0</v>
      </c>
    </row>
    <row r="68" spans="2:11" ht="12.75">
      <c r="B68" s="149"/>
      <c r="C68" s="97"/>
      <c r="D68" s="99"/>
      <c r="E68" s="99"/>
      <c r="F68" s="108" t="s">
        <v>94</v>
      </c>
      <c r="G68" s="109">
        <f>IF(G65=0,0,G66/$F$8*G64/G65)</f>
        <v>-0.19234730109190534</v>
      </c>
      <c r="H68" s="109">
        <f>IF(H65=0,0,H66/$G$8*H64/H65)</f>
        <v>0.06516913320960135</v>
      </c>
      <c r="I68" s="109">
        <f>IF(I65=0,0,I66/$F$9*I64/I65)</f>
        <v>-0.19234730426470642</v>
      </c>
      <c r="J68" s="109">
        <f>IF(J65=0,0,J66/$G$9*J64/J65)</f>
        <v>0.0651691342452</v>
      </c>
      <c r="K68" s="117" t="s">
        <v>0</v>
      </c>
    </row>
    <row r="69" spans="2:11" ht="12.75">
      <c r="B69" s="149"/>
      <c r="C69" s="97"/>
      <c r="D69" s="99"/>
      <c r="E69" s="99"/>
      <c r="F69" s="108" t="s">
        <v>95</v>
      </c>
      <c r="G69" s="109">
        <f>Coffrage!$H$4-2*G67</f>
        <v>1.3478579224684293</v>
      </c>
      <c r="H69" s="109">
        <f>Coffrage!$H$4-2*H67</f>
        <v>1.3478579179542813</v>
      </c>
      <c r="I69" s="109">
        <f>Coffrage!$H$4-2*I67</f>
        <v>0.8328250681559184</v>
      </c>
      <c r="J69" s="109">
        <f>Coffrage!$H$4-2*J67</f>
        <v>0.8328250228657381</v>
      </c>
      <c r="K69" s="117" t="s">
        <v>0</v>
      </c>
    </row>
    <row r="70" spans="2:11" ht="12.75">
      <c r="B70" s="149"/>
      <c r="C70" s="97"/>
      <c r="D70" s="99"/>
      <c r="E70" s="99"/>
      <c r="F70" s="108" t="s">
        <v>96</v>
      </c>
      <c r="G70" s="110">
        <f>Coffrage!$H$4-2*G68</f>
        <v>1.7846946021838106</v>
      </c>
      <c r="H70" s="110">
        <f>Coffrage!$H$4-2*H68</f>
        <v>1.2696617335807971</v>
      </c>
      <c r="I70" s="110">
        <f>Coffrage!$H$4-2*I68</f>
        <v>1.7846946085294126</v>
      </c>
      <c r="J70" s="110">
        <f>Coffrage!$H$4-2*J68</f>
        <v>1.2696617315096</v>
      </c>
      <c r="K70" s="117" t="s">
        <v>0</v>
      </c>
    </row>
    <row r="71" spans="2:11" ht="12.75">
      <c r="B71" s="149"/>
      <c r="C71" s="97"/>
      <c r="D71" s="99"/>
      <c r="E71" s="99"/>
      <c r="F71" s="107" t="s">
        <v>98</v>
      </c>
      <c r="G71" s="111"/>
      <c r="H71" s="112"/>
      <c r="I71" s="112"/>
      <c r="J71" s="113"/>
      <c r="K71" s="117"/>
    </row>
    <row r="72" spans="2:12" ht="12.75">
      <c r="B72" s="149"/>
      <c r="C72" s="97"/>
      <c r="D72" s="99"/>
      <c r="E72" s="99"/>
      <c r="F72" s="108" t="s">
        <v>97</v>
      </c>
      <c r="G72" s="114">
        <f>IF(G67*G68=0,0,F8/G69/G70)</f>
        <v>16.212746090332278</v>
      </c>
      <c r="H72" s="114">
        <f>IF(H67*H68=0,0,G8/H69/H70)</f>
        <v>23.958063514895066</v>
      </c>
      <c r="I72" s="114">
        <f>IF(I67*I68=0,0,F9/I69/I70)</f>
        <v>10.091914404764067</v>
      </c>
      <c r="J72" s="114">
        <f>IF(J67*J68=0,0,G9/J69/J70)</f>
        <v>16.077078270892283</v>
      </c>
      <c r="K72" s="117" t="s">
        <v>116</v>
      </c>
      <c r="L72" s="106">
        <f>IF(MAX(G72:J72)&gt;$H$13*10,"Dépassement de la contrainte admissible du sol","")</f>
      </c>
    </row>
    <row r="73" spans="2:12" ht="12.75">
      <c r="B73" s="149"/>
      <c r="C73" s="97"/>
      <c r="D73" s="99"/>
      <c r="E73" s="99"/>
      <c r="F73" s="107" t="s">
        <v>42</v>
      </c>
      <c r="G73" s="111"/>
      <c r="H73" s="112"/>
      <c r="I73" s="112"/>
      <c r="J73" s="113"/>
      <c r="K73" s="117"/>
      <c r="L73" s="106"/>
    </row>
    <row r="74" spans="2:12" ht="13.5" thickBot="1">
      <c r="B74" s="150"/>
      <c r="C74" s="118"/>
      <c r="D74" s="119"/>
      <c r="E74" s="119"/>
      <c r="F74" s="120" t="s">
        <v>99</v>
      </c>
      <c r="G74" s="121">
        <f>F8/TAN($H$14*PI()/180)/1.5</f>
        <v>45.03332099679081</v>
      </c>
      <c r="H74" s="121">
        <f>G8/TAN($H$14*PI()/180)/1.5</f>
        <v>47.34272207354931</v>
      </c>
      <c r="I74" s="121">
        <f>F9/TAN($H$14*PI()/180)/1.5</f>
        <v>17.320508075688775</v>
      </c>
      <c r="J74" s="121">
        <f>G9/TAN($H$14*PI()/180)/1.5</f>
        <v>19.62990915244728</v>
      </c>
      <c r="K74" s="122" t="s">
        <v>41</v>
      </c>
      <c r="L74" s="106">
        <f>IF(G74&lt;G65,"Instable au glissement",IF(H74&lt;H65,"Instable au glissement",IF(I74&lt;I65,"Instable au glissement",IF(J74&lt;J65,"Instable au glissement",""))))</f>
      </c>
    </row>
    <row r="75" spans="2:11" ht="12.75">
      <c r="B75" s="151" t="s">
        <v>89</v>
      </c>
      <c r="C75" s="152"/>
      <c r="D75" s="152"/>
      <c r="E75" s="152"/>
      <c r="F75" s="152"/>
      <c r="G75" s="115" t="s">
        <v>90</v>
      </c>
      <c r="H75" s="115" t="s">
        <v>91</v>
      </c>
      <c r="I75" s="115" t="s">
        <v>92</v>
      </c>
      <c r="J75" s="115" t="s">
        <v>93</v>
      </c>
      <c r="K75" s="116"/>
    </row>
    <row r="76" spans="2:11" ht="12.75">
      <c r="B76" s="149" t="s">
        <v>60</v>
      </c>
      <c r="C76" s="97"/>
      <c r="D76" s="99"/>
      <c r="E76" s="99"/>
      <c r="F76" s="108" t="s">
        <v>83</v>
      </c>
      <c r="G76" s="109">
        <v>0.5019645690917969</v>
      </c>
      <c r="H76" s="109">
        <v>0.8551989197731018</v>
      </c>
      <c r="I76" s="109">
        <v>0.9470231533050537</v>
      </c>
      <c r="J76" s="109">
        <v>2.7463672161102295</v>
      </c>
      <c r="K76" s="117" t="s">
        <v>41</v>
      </c>
    </row>
    <row r="77" spans="2:11" ht="12.75">
      <c r="B77" s="149"/>
      <c r="C77" s="97"/>
      <c r="D77" s="99"/>
      <c r="E77" s="99"/>
      <c r="F77" s="108" t="s">
        <v>84</v>
      </c>
      <c r="G77" s="109">
        <v>-1.8841054439544678</v>
      </c>
      <c r="H77" s="109">
        <v>0.2911503314971924</v>
      </c>
      <c r="I77" s="109">
        <v>-0.6978168487548828</v>
      </c>
      <c r="J77" s="109">
        <v>0.18355129659175873</v>
      </c>
      <c r="K77" s="117" t="s">
        <v>41</v>
      </c>
    </row>
    <row r="78" spans="2:11" ht="12.75">
      <c r="B78" s="149"/>
      <c r="C78" s="97"/>
      <c r="D78" s="99"/>
      <c r="E78" s="99"/>
      <c r="F78" s="108" t="s">
        <v>87</v>
      </c>
      <c r="G78" s="109">
        <f>SQRT(G76^2+G77^2)</f>
        <v>1.949826082644905</v>
      </c>
      <c r="H78" s="109">
        <f>SQRT(H76^2+H77^2)</f>
        <v>0.9034011887926677</v>
      </c>
      <c r="I78" s="109">
        <f>SQRT(I76^2+I77^2)</f>
        <v>1.1763508011227102</v>
      </c>
      <c r="J78" s="109">
        <f>SQRT(J76^2+J77^2)</f>
        <v>2.7524941351809575</v>
      </c>
      <c r="K78" s="117" t="s">
        <v>41</v>
      </c>
    </row>
    <row r="79" spans="2:11" ht="12.75">
      <c r="B79" s="149"/>
      <c r="C79" s="97"/>
      <c r="D79" s="99"/>
      <c r="E79" s="99"/>
      <c r="F79" s="108" t="s">
        <v>100</v>
      </c>
      <c r="G79" s="109">
        <f>G78*$L$18</f>
        <v>6.746398245951442</v>
      </c>
      <c r="H79" s="109">
        <f>H78*$L$18</f>
        <v>3.125768113222663</v>
      </c>
      <c r="I79" s="109">
        <f>I78*$L$18</f>
        <v>4.07017377188462</v>
      </c>
      <c r="J79" s="109">
        <f>J78*$L$18</f>
        <v>9.523629707726213</v>
      </c>
      <c r="K79" s="117" t="s">
        <v>48</v>
      </c>
    </row>
    <row r="80" spans="2:11" ht="12.75">
      <c r="B80" s="149"/>
      <c r="C80" s="97"/>
      <c r="D80" s="99"/>
      <c r="E80" s="99"/>
      <c r="F80" s="108" t="s">
        <v>88</v>
      </c>
      <c r="G80" s="109">
        <f>IF(G78=0,0,G79/$H$8*G76/G78)</f>
        <v>0.06432582996509761</v>
      </c>
      <c r="H80" s="109">
        <f>IF(H78=0,0,H79/$I$8*H76/H78)</f>
        <v>0.06432583179162964</v>
      </c>
      <c r="I80" s="109">
        <f>IF(I78=0,0,I79/$H$9*I76/I78)</f>
        <v>0.327670011043552</v>
      </c>
      <c r="J80" s="109">
        <f>IF(J78=0,0,J79/$I$9*J76/J78)</f>
        <v>0.3276700195772929</v>
      </c>
      <c r="K80" s="117" t="s">
        <v>0</v>
      </c>
    </row>
    <row r="81" spans="2:11" ht="12.75">
      <c r="B81" s="149"/>
      <c r="C81" s="97"/>
      <c r="D81" s="99"/>
      <c r="E81" s="99"/>
      <c r="F81" s="108" t="s">
        <v>94</v>
      </c>
      <c r="G81" s="109">
        <f>IF(G78=0,0,G79/$H$8*G77/G78)</f>
        <v>-0.24144462355861213</v>
      </c>
      <c r="H81" s="109">
        <f>IF(H78=0,0,H79/$I$8*H77/H78)</f>
        <v>0.021899568412615138</v>
      </c>
      <c r="I81" s="109">
        <f>IF(I78=0,0,I79/$H$9*I77/I78)</f>
        <v>-0.24144462966919197</v>
      </c>
      <c r="J81" s="109">
        <f>IF(J78=0,0,J79/$I$9*J77/J78)</f>
        <v>0.021899568489913514</v>
      </c>
      <c r="K81" s="117" t="s">
        <v>0</v>
      </c>
    </row>
    <row r="82" spans="2:11" ht="12.75">
      <c r="B82" s="149"/>
      <c r="C82" s="97"/>
      <c r="D82" s="99"/>
      <c r="E82" s="99"/>
      <c r="F82" s="108" t="s">
        <v>95</v>
      </c>
      <c r="G82" s="109">
        <f>Coffrage!$H$4-2*G80</f>
        <v>1.2713483400698047</v>
      </c>
      <c r="H82" s="109">
        <f>Coffrage!$H$4-2*H80</f>
        <v>1.2713483364167406</v>
      </c>
      <c r="I82" s="109">
        <f>Coffrage!$H$4-2*I80</f>
        <v>0.744659977912896</v>
      </c>
      <c r="J82" s="109">
        <f>Coffrage!$H$4-2*J80</f>
        <v>0.7446599608454141</v>
      </c>
      <c r="K82" s="117" t="s">
        <v>0</v>
      </c>
    </row>
    <row r="83" spans="2:11" ht="12.75">
      <c r="B83" s="149"/>
      <c r="C83" s="97"/>
      <c r="D83" s="99"/>
      <c r="E83" s="99"/>
      <c r="F83" s="108" t="s">
        <v>96</v>
      </c>
      <c r="G83" s="110">
        <f>Coffrage!$H$4-2*G81</f>
        <v>1.882889247117224</v>
      </c>
      <c r="H83" s="110">
        <f>Coffrage!$H$4-2*H81</f>
        <v>1.3562008631747697</v>
      </c>
      <c r="I83" s="110">
        <f>Coffrage!$H$4-2*I81</f>
        <v>1.882889259338384</v>
      </c>
      <c r="J83" s="110">
        <f>Coffrage!$H$4-2*J81</f>
        <v>1.356200863020173</v>
      </c>
      <c r="K83" s="117" t="s">
        <v>0</v>
      </c>
    </row>
    <row r="84" spans="2:11" ht="12.75">
      <c r="B84" s="149"/>
      <c r="C84" s="97"/>
      <c r="D84" s="99"/>
      <c r="E84" s="99"/>
      <c r="F84" s="107" t="s">
        <v>98</v>
      </c>
      <c r="G84" s="111"/>
      <c r="H84" s="112"/>
      <c r="I84" s="112"/>
      <c r="J84" s="113"/>
      <c r="K84" s="117"/>
    </row>
    <row r="85" spans="2:12" ht="12.75">
      <c r="B85" s="149"/>
      <c r="C85" s="97"/>
      <c r="D85" s="99"/>
      <c r="E85" s="99"/>
      <c r="F85" s="108" t="s">
        <v>97</v>
      </c>
      <c r="G85" s="114">
        <f>IF(G80*G81=0,0,H8/G82/G83)</f>
        <v>11.279099518169968</v>
      </c>
      <c r="H85" s="114">
        <f>IF(H80*H81=0,0,I8/H82/H83)</f>
        <v>26.678982129557212</v>
      </c>
      <c r="I85" s="114">
        <f>IF(I80*I81=0,0,H9/I82/I83)</f>
        <v>7.132096468663184</v>
      </c>
      <c r="J85" s="114">
        <f>IF(J80*J81=0,0,I9/J82/J83)</f>
        <v>28.715473262828755</v>
      </c>
      <c r="K85" s="117" t="s">
        <v>116</v>
      </c>
      <c r="L85" s="106">
        <f>IF(MAX(G85:J85)&gt;$H$13*10,"Dépassement de la contrainte admissible du sol","")</f>
      </c>
    </row>
    <row r="86" spans="2:12" ht="12.75">
      <c r="B86" s="149"/>
      <c r="C86" s="97"/>
      <c r="D86" s="99"/>
      <c r="E86" s="99"/>
      <c r="F86" s="107" t="s">
        <v>42</v>
      </c>
      <c r="G86" s="111"/>
      <c r="H86" s="112"/>
      <c r="I86" s="112"/>
      <c r="J86" s="113"/>
      <c r="K86" s="117"/>
      <c r="L86" s="106"/>
    </row>
    <row r="87" spans="2:12" ht="13.5" thickBot="1">
      <c r="B87" s="150"/>
      <c r="C87" s="118"/>
      <c r="D87" s="119"/>
      <c r="E87" s="119"/>
      <c r="F87" s="120" t="s">
        <v>99</v>
      </c>
      <c r="G87" s="121">
        <f>H8/TAN($H$14*PI()/180)/1.5</f>
        <v>31.176914536239792</v>
      </c>
      <c r="H87" s="121">
        <f>I8/TAN($H$14*PI()/180)/1.5</f>
        <v>53.11622476544557</v>
      </c>
      <c r="I87" s="121">
        <f>H9/TAN($H$14*PI()/180)/1.5</f>
        <v>11.547005383792516</v>
      </c>
      <c r="J87" s="121">
        <f>I9/TAN($H$14*PI()/180)/1.5</f>
        <v>33.4863156129983</v>
      </c>
      <c r="K87" s="122" t="s">
        <v>41</v>
      </c>
      <c r="L87" s="106">
        <f>IF(G87&lt;G78,"Instable au glissement",IF(H87&lt;H78,"Instable au glissement",IF(I87&lt;I78,"Instable au glissement",IF(J87&lt;J78,"Instable au glissement",""))))</f>
      </c>
    </row>
    <row r="88" spans="2:11" ht="12.75">
      <c r="B88" s="151" t="s">
        <v>89</v>
      </c>
      <c r="C88" s="152"/>
      <c r="D88" s="152"/>
      <c r="E88" s="152"/>
      <c r="F88" s="152"/>
      <c r="G88" s="115" t="s">
        <v>90</v>
      </c>
      <c r="H88" s="115" t="s">
        <v>91</v>
      </c>
      <c r="I88" s="115" t="s">
        <v>92</v>
      </c>
      <c r="J88" s="115" t="s">
        <v>93</v>
      </c>
      <c r="K88" s="116"/>
    </row>
    <row r="89" spans="2:11" ht="12.75">
      <c r="B89" s="149" t="s">
        <v>61</v>
      </c>
      <c r="C89" s="97"/>
      <c r="D89" s="99"/>
      <c r="E89" s="99"/>
      <c r="F89" s="108" t="s">
        <v>83</v>
      </c>
      <c r="G89" s="109">
        <v>0.11875733733177185</v>
      </c>
      <c r="H89" s="109">
        <v>0.3034909665584564</v>
      </c>
      <c r="I89" s="109">
        <v>1.9170575141906738</v>
      </c>
      <c r="J89" s="109">
        <v>2.9065065383911133</v>
      </c>
      <c r="K89" s="117" t="s">
        <v>41</v>
      </c>
    </row>
    <row r="90" spans="2:15" ht="15.75">
      <c r="B90" s="149"/>
      <c r="C90" s="97"/>
      <c r="D90" s="99"/>
      <c r="E90" s="99"/>
      <c r="F90" s="108" t="s">
        <v>84</v>
      </c>
      <c r="G90" s="109">
        <v>-0.461466521024704</v>
      </c>
      <c r="H90" s="109">
        <v>-0.06046133488416672</v>
      </c>
      <c r="I90" s="109">
        <v>-1.5894957780838013</v>
      </c>
      <c r="J90" s="109">
        <v>-0.12355142086744308</v>
      </c>
      <c r="K90" s="117" t="s">
        <v>41</v>
      </c>
      <c r="N90" s="72" t="s">
        <v>29</v>
      </c>
      <c r="O90" s="73" t="str">
        <f>Coffrage!$C$1</f>
        <v>Grue GT118 chassi 3.80m x 3.80m HSC 30.70m flèche36.00m</v>
      </c>
    </row>
    <row r="91" spans="2:11" ht="12.75">
      <c r="B91" s="149"/>
      <c r="C91" s="97"/>
      <c r="D91" s="99"/>
      <c r="E91" s="99"/>
      <c r="F91" s="108" t="s">
        <v>87</v>
      </c>
      <c r="G91" s="109">
        <f>SQRT(G89^2+G90^2)</f>
        <v>0.47650252380945035</v>
      </c>
      <c r="H91" s="109">
        <f>SQRT(H89^2+H90^2)</f>
        <v>0.3094549075367225</v>
      </c>
      <c r="I91" s="109">
        <f>SQRT(I89^2+I90^2)</f>
        <v>2.4903024597950254</v>
      </c>
      <c r="J91" s="109">
        <f>SQRT(J89^2+J90^2)</f>
        <v>2.9091313499580345</v>
      </c>
      <c r="K91" s="117" t="s">
        <v>41</v>
      </c>
    </row>
    <row r="92" spans="2:14" ht="15.75">
      <c r="B92" s="149"/>
      <c r="C92" s="97"/>
      <c r="D92" s="99"/>
      <c r="E92" s="99"/>
      <c r="F92" s="108" t="s">
        <v>100</v>
      </c>
      <c r="G92" s="109">
        <f>G91*$L$18</f>
        <v>1.6486987323807156</v>
      </c>
      <c r="H92" s="109">
        <f>H91*$L$18</f>
        <v>1.070713980077071</v>
      </c>
      <c r="I92" s="109">
        <f>I91*$L$18</f>
        <v>8.616446510890878</v>
      </c>
      <c r="J92" s="109">
        <f>J91*$L$18</f>
        <v>10.065594470854904</v>
      </c>
      <c r="K92" s="117" t="s">
        <v>48</v>
      </c>
      <c r="N92" s="72" t="s">
        <v>69</v>
      </c>
    </row>
    <row r="93" spans="2:11" ht="12.75">
      <c r="B93" s="149"/>
      <c r="C93" s="97"/>
      <c r="D93" s="99"/>
      <c r="E93" s="99"/>
      <c r="F93" s="108" t="s">
        <v>88</v>
      </c>
      <c r="G93" s="109">
        <f>IF(G91=0,0,G92/$J$8*G89/G91)</f>
        <v>0.04565559857421499</v>
      </c>
      <c r="H93" s="109">
        <f>IF(H91=0,0,H92/$K$8*H89/H91)</f>
        <v>0.04565559757792479</v>
      </c>
      <c r="I93" s="109">
        <f>IF(I91=0,0,I92/$J$9*I89/I91)</f>
        <v>0.213968354809671</v>
      </c>
      <c r="J93" s="109">
        <f>IF(J91=0,0,J92/$K$9*J89/J91)</f>
        <v>0.21396835367730546</v>
      </c>
      <c r="K93" s="117" t="s">
        <v>0</v>
      </c>
    </row>
    <row r="94" spans="2:11" ht="12.75">
      <c r="B94" s="149"/>
      <c r="C94" s="97"/>
      <c r="D94" s="99"/>
      <c r="E94" s="99"/>
      <c r="F94" s="108" t="s">
        <v>94</v>
      </c>
      <c r="G94" s="109">
        <f>IF(G91=0,0,G92/$J$8*G90/G91)</f>
        <v>-0.17740824030505473</v>
      </c>
      <c r="H94" s="109">
        <f>IF(H91=0,0,H92/$K$8*H90/H91)</f>
        <v>-0.009095487769531261</v>
      </c>
      <c r="I94" s="109">
        <f>IF(I91=0,0,I92/$J$9*I90/I91)</f>
        <v>-0.1774082384570971</v>
      </c>
      <c r="J94" s="109">
        <f>IF(J91=0,0,J92/$K$9*J90/J91)</f>
        <v>-0.009095487578752288</v>
      </c>
      <c r="K94" s="117" t="s">
        <v>0</v>
      </c>
    </row>
    <row r="95" spans="2:11" ht="12.75">
      <c r="B95" s="149"/>
      <c r="C95" s="97"/>
      <c r="D95" s="99"/>
      <c r="E95" s="99"/>
      <c r="F95" s="108" t="s">
        <v>95</v>
      </c>
      <c r="G95" s="109">
        <f>Coffrage!$H$4-2*G93</f>
        <v>1.30868880285157</v>
      </c>
      <c r="H95" s="109">
        <f>Coffrage!$H$4-2*H93</f>
        <v>1.3086888048441503</v>
      </c>
      <c r="I95" s="109">
        <f>Coffrage!$H$4-2*I93</f>
        <v>0.9720632903806579</v>
      </c>
      <c r="J95" s="109">
        <f>Coffrage!$H$4-2*J93</f>
        <v>0.9720632926453889</v>
      </c>
      <c r="K95" s="117" t="s">
        <v>0</v>
      </c>
    </row>
    <row r="96" spans="2:11" ht="12.75">
      <c r="B96" s="149"/>
      <c r="C96" s="97"/>
      <c r="D96" s="99"/>
      <c r="E96" s="99"/>
      <c r="F96" s="108" t="s">
        <v>96</v>
      </c>
      <c r="G96" s="110">
        <f>Coffrage!$H$4-2*G94</f>
        <v>1.7548164806101094</v>
      </c>
      <c r="H96" s="110">
        <f>Coffrage!$H$4-2*H94</f>
        <v>1.4181909755390625</v>
      </c>
      <c r="I96" s="110">
        <f>Coffrage!$H$4-2*I94</f>
        <v>1.754816476914194</v>
      </c>
      <c r="J96" s="110">
        <f>Coffrage!$H$4-2*J94</f>
        <v>1.4181909751575046</v>
      </c>
      <c r="K96" s="117" t="s">
        <v>0</v>
      </c>
    </row>
    <row r="97" spans="2:11" ht="12.75">
      <c r="B97" s="149"/>
      <c r="C97" s="97"/>
      <c r="D97" s="99"/>
      <c r="E97" s="99"/>
      <c r="F97" s="107" t="s">
        <v>98</v>
      </c>
      <c r="G97" s="111"/>
      <c r="H97" s="112"/>
      <c r="I97" s="112"/>
      <c r="J97" s="113"/>
      <c r="K97" s="117"/>
    </row>
    <row r="98" spans="2:12" ht="12.75">
      <c r="B98" s="149"/>
      <c r="C98" s="97"/>
      <c r="D98" s="99"/>
      <c r="E98" s="99"/>
      <c r="F98" s="108" t="s">
        <v>97</v>
      </c>
      <c r="G98" s="114">
        <f>IF(G93*G94=0,0,J8/G95/G96)</f>
        <v>3.9189923736767844</v>
      </c>
      <c r="H98" s="114">
        <f>IF(H93*H94=0,0,K8/H95/H96)</f>
        <v>12.392437329257348</v>
      </c>
      <c r="I98" s="114">
        <f>IF(I93*I94=0,0,J9/I95/I96)</f>
        <v>18.173369126022845</v>
      </c>
      <c r="J98" s="114">
        <f>IF(J93*J94=0,0,K9/J95/J96)</f>
        <v>34.09326522952709</v>
      </c>
      <c r="K98" s="117" t="s">
        <v>116</v>
      </c>
      <c r="L98" s="106">
        <f>IF(MAX(G98:J98)&gt;$H$13*10,"Dépassement de la contrainte admissible du sol","")</f>
      </c>
    </row>
    <row r="99" spans="2:12" ht="12.75">
      <c r="B99" s="149"/>
      <c r="C99" s="97"/>
      <c r="D99" s="99"/>
      <c r="E99" s="99"/>
      <c r="F99" s="107" t="s">
        <v>42</v>
      </c>
      <c r="G99" s="111"/>
      <c r="H99" s="112"/>
      <c r="I99" s="112"/>
      <c r="J99" s="113"/>
      <c r="K99" s="117"/>
      <c r="L99" s="106"/>
    </row>
    <row r="100" spans="2:12" ht="13.5" thickBot="1">
      <c r="B100" s="150"/>
      <c r="C100" s="118"/>
      <c r="D100" s="119"/>
      <c r="E100" s="119"/>
      <c r="F100" s="120" t="s">
        <v>99</v>
      </c>
      <c r="G100" s="121">
        <f>J8/TAN($H$14*PI()/180)/1.5</f>
        <v>10.392304845413264</v>
      </c>
      <c r="H100" s="121">
        <f>K8/TAN($H$14*PI()/180)/1.5</f>
        <v>26.558112382722786</v>
      </c>
      <c r="I100" s="121">
        <f>J9/TAN($H$14*PI()/180)/1.5</f>
        <v>35.7957166897568</v>
      </c>
      <c r="J100" s="121">
        <f>K9/TAN($H$14*PI()/180)/1.5</f>
        <v>54.27092530382483</v>
      </c>
      <c r="K100" s="122" t="s">
        <v>41</v>
      </c>
      <c r="L100" s="106">
        <f>IF(G100&lt;G91,"Instable au glissement",IF(H100&lt;H91,"Instable au glissement",IF(I100&lt;I91,"Instable au glissement",IF(J100&lt;J91,"Instable au glissement",""))))</f>
      </c>
    </row>
    <row r="101" spans="2:11" ht="12.75">
      <c r="B101" s="151" t="s">
        <v>89</v>
      </c>
      <c r="C101" s="152"/>
      <c r="D101" s="152"/>
      <c r="E101" s="152"/>
      <c r="F101" s="152"/>
      <c r="G101" s="115" t="s">
        <v>90</v>
      </c>
      <c r="H101" s="115" t="s">
        <v>91</v>
      </c>
      <c r="I101" s="115" t="s">
        <v>92</v>
      </c>
      <c r="J101" s="115" t="s">
        <v>93</v>
      </c>
      <c r="K101" s="116"/>
    </row>
    <row r="102" spans="2:11" ht="12.75">
      <c r="B102" s="149" t="s">
        <v>62</v>
      </c>
      <c r="C102" s="97"/>
      <c r="D102" s="99"/>
      <c r="E102" s="99"/>
      <c r="F102" s="108" t="s">
        <v>83</v>
      </c>
      <c r="G102" s="109">
        <v>0.41536927223205566</v>
      </c>
      <c r="H102" s="109">
        <v>0.8487980365753174</v>
      </c>
      <c r="I102" s="109">
        <v>0.6223754286766052</v>
      </c>
      <c r="J102" s="109">
        <v>2.282043218612671</v>
      </c>
      <c r="K102" s="117" t="s">
        <v>41</v>
      </c>
    </row>
    <row r="103" spans="2:11" ht="12.75">
      <c r="B103" s="149"/>
      <c r="C103" s="97"/>
      <c r="D103" s="99"/>
      <c r="E103" s="99"/>
      <c r="F103" s="108" t="s">
        <v>84</v>
      </c>
      <c r="G103" s="109">
        <v>-1.4798736572265625</v>
      </c>
      <c r="H103" s="109">
        <v>-0.6227049231529236</v>
      </c>
      <c r="I103" s="109">
        <v>-0.5790809988975525</v>
      </c>
      <c r="J103" s="109">
        <v>-0.4372183680534363</v>
      </c>
      <c r="K103" s="117" t="s">
        <v>41</v>
      </c>
    </row>
    <row r="104" spans="2:11" ht="12.75">
      <c r="B104" s="149"/>
      <c r="C104" s="97"/>
      <c r="D104" s="99"/>
      <c r="E104" s="99"/>
      <c r="F104" s="108" t="s">
        <v>87</v>
      </c>
      <c r="G104" s="109">
        <f>SQRT(G102^2+G103^2)</f>
        <v>1.5370613760249487</v>
      </c>
      <c r="H104" s="109">
        <f>SQRT(H102^2+H103^2)</f>
        <v>1.052720061655995</v>
      </c>
      <c r="I104" s="109">
        <f>SQRT(I102^2+I103^2)</f>
        <v>0.8501093914929863</v>
      </c>
      <c r="J104" s="109">
        <f>SQRT(J102^2+J103^2)</f>
        <v>2.323549257704555</v>
      </c>
      <c r="K104" s="117" t="s">
        <v>41</v>
      </c>
    </row>
    <row r="105" spans="2:11" ht="12.75">
      <c r="B105" s="149"/>
      <c r="C105" s="97"/>
      <c r="D105" s="99"/>
      <c r="E105" s="99"/>
      <c r="F105" s="108" t="s">
        <v>100</v>
      </c>
      <c r="G105" s="109">
        <f>G104*$L$18</f>
        <v>5.318232361046379</v>
      </c>
      <c r="H105" s="109">
        <f>H104*$L$18</f>
        <v>3.642411413329781</v>
      </c>
      <c r="I105" s="109">
        <f>I104*$L$18</f>
        <v>2.9413784945657633</v>
      </c>
      <c r="J105" s="109">
        <f>J104*$L$18</f>
        <v>8.039480431657845</v>
      </c>
      <c r="K105" s="117" t="s">
        <v>48</v>
      </c>
    </row>
    <row r="106" spans="2:11" ht="12.75">
      <c r="B106" s="149"/>
      <c r="C106" s="97"/>
      <c r="D106" s="99"/>
      <c r="E106" s="99"/>
      <c r="F106" s="108" t="s">
        <v>88</v>
      </c>
      <c r="G106" s="109">
        <f>IF(G104=0,0,G105/$L$8*G102/G104)</f>
        <v>0.06248598617056207</v>
      </c>
      <c r="H106" s="109">
        <f>IF(H104=0,0,H105/$M$8*H102/H104)</f>
        <v>0.0624859831180985</v>
      </c>
      <c r="I106" s="109">
        <f>IF(I104=0,0,I105/$L$9*I102/I104)</f>
        <v>0.23926877591345297</v>
      </c>
      <c r="J106" s="109">
        <f>IF(J104=0,0,J105/$M$9*J102/J104)</f>
        <v>0.23926877383030073</v>
      </c>
      <c r="K106" s="117" t="s">
        <v>0</v>
      </c>
    </row>
    <row r="107" spans="2:11" ht="12.75">
      <c r="B107" s="149"/>
      <c r="C107" s="97"/>
      <c r="D107" s="99"/>
      <c r="E107" s="99"/>
      <c r="F107" s="108" t="s">
        <v>94</v>
      </c>
      <c r="G107" s="109">
        <f>IF(G104=0,0,G105/$L$8*G103/G104)</f>
        <v>-0.22262447191321566</v>
      </c>
      <c r="H107" s="109">
        <f>IF(H104=0,0,H105/$M$8*H103/H104)</f>
        <v>-0.04584168157679018</v>
      </c>
      <c r="I107" s="109">
        <f>IF(I104=0,0,I105/$L$9*I103/I104)</f>
        <v>-0.22262447290950585</v>
      </c>
      <c r="J107" s="109">
        <f>IF(J104=0,0,J105/$M$9*J103/J104)</f>
        <v>-0.04584168343833047</v>
      </c>
      <c r="K107" s="117" t="s">
        <v>0</v>
      </c>
    </row>
    <row r="108" spans="2:11" ht="12.75">
      <c r="B108" s="149"/>
      <c r="C108" s="97"/>
      <c r="D108" s="99"/>
      <c r="E108" s="99"/>
      <c r="F108" s="108" t="s">
        <v>95</v>
      </c>
      <c r="G108" s="109">
        <f>Coffrage!$H$4-2*G106</f>
        <v>1.2750280276588757</v>
      </c>
      <c r="H108" s="109">
        <f>Coffrage!$H$4-2*H106</f>
        <v>1.275028033763803</v>
      </c>
      <c r="I108" s="109">
        <f>Coffrage!$H$4-2*I106</f>
        <v>0.921462448173094</v>
      </c>
      <c r="J108" s="109">
        <f>Coffrage!$H$4-2*J106</f>
        <v>0.9214624523393984</v>
      </c>
      <c r="K108" s="117" t="s">
        <v>0</v>
      </c>
    </row>
    <row r="109" spans="2:11" ht="12.75">
      <c r="B109" s="149"/>
      <c r="C109" s="97"/>
      <c r="D109" s="99"/>
      <c r="E109" s="99"/>
      <c r="F109" s="108" t="s">
        <v>96</v>
      </c>
      <c r="G109" s="110">
        <f>Coffrage!$H$4-2*G107</f>
        <v>1.8452489438264312</v>
      </c>
      <c r="H109" s="110">
        <f>Coffrage!$H$4-2*H107</f>
        <v>1.4916833631535802</v>
      </c>
      <c r="I109" s="110">
        <f>Coffrage!$H$4-2*I107</f>
        <v>1.8452489458190116</v>
      </c>
      <c r="J109" s="110">
        <f>Coffrage!$H$4-2*J107</f>
        <v>1.491683366876661</v>
      </c>
      <c r="K109" s="117" t="s">
        <v>0</v>
      </c>
    </row>
    <row r="110" spans="2:11" ht="12.75">
      <c r="B110" s="149"/>
      <c r="C110" s="97"/>
      <c r="D110" s="99"/>
      <c r="E110" s="99"/>
      <c r="F110" s="107" t="s">
        <v>98</v>
      </c>
      <c r="G110" s="111"/>
      <c r="H110" s="112"/>
      <c r="I110" s="112"/>
      <c r="J110" s="113"/>
      <c r="K110" s="117"/>
    </row>
    <row r="111" spans="2:12" ht="12.75">
      <c r="B111" s="149"/>
      <c r="C111" s="97"/>
      <c r="D111" s="99"/>
      <c r="E111" s="99"/>
      <c r="F111" s="108" t="s">
        <v>97</v>
      </c>
      <c r="G111" s="114">
        <f>IF(G106*G107=0,0,L8/G108/G109)</f>
        <v>9.775818709279985</v>
      </c>
      <c r="H111" s="114">
        <f>IF(H106*H107=0,0,M8/H108/H109)</f>
        <v>24.711634865295874</v>
      </c>
      <c r="I111" s="114">
        <f>IF(I106*I107=0,0,L9/I108/I109)</f>
        <v>5.293097601444358</v>
      </c>
      <c r="J111" s="114">
        <f>IF(J106*J107=0,0,M9/J108/J109)</f>
        <v>24.008202714894907</v>
      </c>
      <c r="K111" s="117" t="s">
        <v>116</v>
      </c>
      <c r="L111" s="106">
        <f>IF(MAX(G111:J111)&gt;$H$13*10,"Dépassement de la contrainte admissible du sol","")</f>
      </c>
    </row>
    <row r="112" spans="2:12" ht="12.75">
      <c r="B112" s="149"/>
      <c r="C112" s="97"/>
      <c r="D112" s="99"/>
      <c r="E112" s="99"/>
      <c r="F112" s="107" t="s">
        <v>42</v>
      </c>
      <c r="G112" s="111"/>
      <c r="H112" s="112"/>
      <c r="I112" s="112"/>
      <c r="J112" s="113"/>
      <c r="K112" s="117"/>
      <c r="L112" s="106"/>
    </row>
    <row r="113" spans="2:12" ht="13.5" thickBot="1">
      <c r="B113" s="150"/>
      <c r="C113" s="118"/>
      <c r="D113" s="119"/>
      <c r="E113" s="119"/>
      <c r="F113" s="120" t="s">
        <v>99</v>
      </c>
      <c r="G113" s="121">
        <f>L8/TAN($H$14*PI()/180)/1.5</f>
        <v>26.558112382722786</v>
      </c>
      <c r="H113" s="121">
        <f>M8/TAN($H$14*PI()/180)/1.5</f>
        <v>54.27092530382483</v>
      </c>
      <c r="I113" s="121">
        <f>L9/TAN($H$14*PI()/180)/1.5</f>
        <v>10.392304845413264</v>
      </c>
      <c r="J113" s="121">
        <f>M9/TAN($H$14*PI()/180)/1.5</f>
        <v>38.1051177665153</v>
      </c>
      <c r="K113" s="122" t="s">
        <v>41</v>
      </c>
      <c r="L113" s="106">
        <f>IF(G113&lt;G104,"Instable au glissement",IF(H113&lt;H104,"Instable au glissement",IF(I113&lt;I104,"Instable au glissement",IF(J113&lt;J104,"Instable au glissement",""))))</f>
      </c>
    </row>
    <row r="114" spans="2:11" ht="12.75">
      <c r="B114" s="151" t="s">
        <v>89</v>
      </c>
      <c r="C114" s="152"/>
      <c r="D114" s="152"/>
      <c r="E114" s="152"/>
      <c r="F114" s="152"/>
      <c r="G114" s="115" t="s">
        <v>90</v>
      </c>
      <c r="H114" s="115" t="s">
        <v>91</v>
      </c>
      <c r="I114" s="115" t="s">
        <v>92</v>
      </c>
      <c r="J114" s="115" t="s">
        <v>93</v>
      </c>
      <c r="K114" s="116"/>
    </row>
    <row r="115" spans="2:11" ht="12.75">
      <c r="B115" s="149" t="s">
        <v>111</v>
      </c>
      <c r="C115" s="97"/>
      <c r="D115" s="99"/>
      <c r="E115" s="99"/>
      <c r="F115" s="108" t="s">
        <v>83</v>
      </c>
      <c r="G115" s="109">
        <v>0.4761173129081726</v>
      </c>
      <c r="H115" s="109">
        <v>0.13134270906448364</v>
      </c>
      <c r="I115" s="109">
        <v>2.2785253524780273</v>
      </c>
      <c r="J115" s="109">
        <v>1.3766090869903564</v>
      </c>
      <c r="K115" s="117" t="s">
        <v>41</v>
      </c>
    </row>
    <row r="116" spans="2:11" ht="12.75">
      <c r="B116" s="149"/>
      <c r="C116" s="97"/>
      <c r="D116" s="99"/>
      <c r="E116" s="99"/>
      <c r="F116" s="108" t="s">
        <v>84</v>
      </c>
      <c r="G116" s="109">
        <v>-0.9540438652038574</v>
      </c>
      <c r="H116" s="109">
        <v>-0.014772960916161537</v>
      </c>
      <c r="I116" s="109">
        <v>-1.5791070461273193</v>
      </c>
      <c r="J116" s="109">
        <v>-0.05355198308825493</v>
      </c>
      <c r="K116" s="117" t="s">
        <v>41</v>
      </c>
    </row>
    <row r="117" spans="2:11" ht="12.75">
      <c r="B117" s="149"/>
      <c r="C117" s="97"/>
      <c r="D117" s="99"/>
      <c r="E117" s="99"/>
      <c r="F117" s="108" t="s">
        <v>87</v>
      </c>
      <c r="G117" s="109">
        <f>SQRT(G115^2+G116^2)</f>
        <v>1.0662492168269175</v>
      </c>
      <c r="H117" s="109">
        <f>SQRT(H115^2+H116^2)</f>
        <v>0.13217090299543252</v>
      </c>
      <c r="I117" s="109">
        <f>SQRT(I115^2+I116^2)</f>
        <v>2.7722295801419596</v>
      </c>
      <c r="J117" s="109">
        <f>SQRT(J115^2+J116^2)</f>
        <v>1.377650316037095</v>
      </c>
      <c r="K117" s="117" t="s">
        <v>41</v>
      </c>
    </row>
    <row r="118" spans="2:11" ht="12.75">
      <c r="B118" s="149"/>
      <c r="C118" s="97"/>
      <c r="D118" s="99"/>
      <c r="E118" s="99"/>
      <c r="F118" s="108" t="s">
        <v>100</v>
      </c>
      <c r="G118" s="109">
        <f>G117*$L$18</f>
        <v>3.6892222902211733</v>
      </c>
      <c r="H118" s="109">
        <f>H117*$L$18</f>
        <v>0.45731132436420135</v>
      </c>
      <c r="I118" s="109">
        <f>I117*$L$18</f>
        <v>9.591914347291281</v>
      </c>
      <c r="J118" s="109">
        <f>J117*$L$18</f>
        <v>4.766670093488399</v>
      </c>
      <c r="K118" s="117" t="s">
        <v>48</v>
      </c>
    </row>
    <row r="119" spans="2:11" ht="12.75">
      <c r="B119" s="149"/>
      <c r="C119" s="97"/>
      <c r="D119" s="99"/>
      <c r="E119" s="99"/>
      <c r="F119" s="108" t="s">
        <v>88</v>
      </c>
      <c r="G119" s="109">
        <f>IF(G117=0,0,G118/$N$8*G115/G117)</f>
        <v>0.05680572078145843</v>
      </c>
      <c r="H119" s="109">
        <f>IF(H117=0,0,H118/$O$8*H115/H117)</f>
        <v>0.056805721670389775</v>
      </c>
      <c r="I119" s="109">
        <f>IF(I117=0,0,I118/$N$9*I115/I117)</f>
        <v>0.1642437024911262</v>
      </c>
      <c r="J119" s="109">
        <f>IF(J117=0,0,J118/$O$9*J115/J117)</f>
        <v>0.1642437048616098</v>
      </c>
      <c r="K119" s="117" t="s">
        <v>0</v>
      </c>
    </row>
    <row r="120" spans="2:11" ht="12.75">
      <c r="B120" s="149"/>
      <c r="C120" s="97"/>
      <c r="D120" s="99"/>
      <c r="E120" s="99"/>
      <c r="F120" s="108" t="s">
        <v>94</v>
      </c>
      <c r="G120" s="109">
        <f>IF(G117=0,0,G118/$N$8*G116/G117)</f>
        <v>-0.1138273025381166</v>
      </c>
      <c r="H120" s="109">
        <f>IF(H117=0,0,H118/$O$8*H116/H117)</f>
        <v>-0.006389305596239933</v>
      </c>
      <c r="I120" s="109">
        <f>IF(I117=0,0,I118/$N$9*I116/I117)</f>
        <v>-0.11382729957501213</v>
      </c>
      <c r="J120" s="109">
        <f>IF(J117=0,0,J118/$O$9*J116/J117)</f>
        <v>-0.006389305568460828</v>
      </c>
      <c r="K120" s="117" t="s">
        <v>0</v>
      </c>
    </row>
    <row r="121" spans="2:11" ht="12.75">
      <c r="B121" s="149"/>
      <c r="C121" s="97"/>
      <c r="D121" s="99"/>
      <c r="E121" s="99"/>
      <c r="F121" s="108" t="s">
        <v>95</v>
      </c>
      <c r="G121" s="109">
        <f>Coffrage!$H$4-2*G119</f>
        <v>1.286388558437083</v>
      </c>
      <c r="H121" s="109">
        <f>Coffrage!$H$4-2*H119</f>
        <v>1.2863885566592204</v>
      </c>
      <c r="I121" s="109">
        <f>Coffrage!$H$4-2*I119</f>
        <v>1.0715125950177475</v>
      </c>
      <c r="J121" s="109">
        <f>Coffrage!$H$4-2*J119</f>
        <v>1.0715125902767804</v>
      </c>
      <c r="K121" s="117" t="s">
        <v>0</v>
      </c>
    </row>
    <row r="122" spans="2:11" ht="12.75">
      <c r="B122" s="149"/>
      <c r="C122" s="97"/>
      <c r="D122" s="99"/>
      <c r="E122" s="99"/>
      <c r="F122" s="108" t="s">
        <v>96</v>
      </c>
      <c r="G122" s="110">
        <f>Coffrage!$H$4-2*G120</f>
        <v>1.627654605076233</v>
      </c>
      <c r="H122" s="110">
        <f>Coffrage!$H$4-2*H120</f>
        <v>1.4127786111924798</v>
      </c>
      <c r="I122" s="110">
        <f>Coffrage!$H$4-2*I120</f>
        <v>1.6276545991500242</v>
      </c>
      <c r="J122" s="110">
        <f>Coffrage!$H$4-2*J120</f>
        <v>1.4127786111369216</v>
      </c>
      <c r="K122" s="117" t="s">
        <v>0</v>
      </c>
    </row>
    <row r="123" spans="2:11" ht="12.75">
      <c r="B123" s="149"/>
      <c r="C123" s="97"/>
      <c r="D123" s="99"/>
      <c r="E123" s="99"/>
      <c r="F123" s="107" t="s">
        <v>98</v>
      </c>
      <c r="G123" s="111"/>
      <c r="H123" s="112"/>
      <c r="I123" s="112"/>
      <c r="J123" s="113"/>
      <c r="K123" s="117"/>
    </row>
    <row r="124" spans="2:12" ht="12.75">
      <c r="B124" s="149"/>
      <c r="C124" s="97"/>
      <c r="D124" s="99"/>
      <c r="E124" s="99"/>
      <c r="F124" s="108" t="s">
        <v>97</v>
      </c>
      <c r="G124" s="114">
        <f>IF(G119*G120=0,0,N8/G121/G122)</f>
        <v>13.850440245486551</v>
      </c>
      <c r="H124" s="114">
        <f>IF(H119*H120=0,0,O8/H121/H122)</f>
        <v>4.401935834074636</v>
      </c>
      <c r="I124" s="114">
        <f>IF(I119*I120=0,0,N9/I121/I122)</f>
        <v>27.522108801554094</v>
      </c>
      <c r="J124" s="114">
        <f>IF(J119*J120=0,0,O9/J121/J122)</f>
        <v>19.15696069924282</v>
      </c>
      <c r="K124" s="117" t="s">
        <v>116</v>
      </c>
      <c r="L124" s="106">
        <f>IF(MAX(G124:J124)&gt;$H$13*10,"Dépassement de la contrainte admissible du sol","")</f>
      </c>
    </row>
    <row r="125" spans="2:12" ht="12.75">
      <c r="B125" s="149"/>
      <c r="C125" s="97"/>
      <c r="D125" s="99"/>
      <c r="E125" s="99"/>
      <c r="F125" s="107" t="s">
        <v>42</v>
      </c>
      <c r="G125" s="111"/>
      <c r="H125" s="112"/>
      <c r="I125" s="112"/>
      <c r="J125" s="113"/>
      <c r="K125" s="117"/>
      <c r="L125" s="106"/>
    </row>
    <row r="126" spans="2:12" ht="13.5" thickBot="1">
      <c r="B126" s="150"/>
      <c r="C126" s="118"/>
      <c r="D126" s="119"/>
      <c r="E126" s="119"/>
      <c r="F126" s="120" t="s">
        <v>99</v>
      </c>
      <c r="G126" s="121">
        <f>N8/TAN($H$14*PI()/180)/1.5</f>
        <v>33.4863156129983</v>
      </c>
      <c r="H126" s="121">
        <f>O8/TAN($H$14*PI()/180)/1.5</f>
        <v>9.237604307034013</v>
      </c>
      <c r="I126" s="121">
        <f>N9/TAN($H$14*PI()/180)/1.5</f>
        <v>55.42562584220408</v>
      </c>
      <c r="J126" s="121">
        <f>O9/TAN($H$14*PI()/180)/1.5</f>
        <v>33.4863156129983</v>
      </c>
      <c r="K126" s="122" t="s">
        <v>41</v>
      </c>
      <c r="L126" s="106">
        <f>IF(G126&lt;G117,"Instable au glissement",IF(H126&lt;H117,"Instable au glissement",IF(I126&lt;I117,"Instable au glissement",IF(J126&lt;J117,"Instable au glissement",""))))</f>
      </c>
    </row>
    <row r="129" ht="25.5" customHeight="1" thickBot="1"/>
    <row r="130" spans="1:23" ht="15.75">
      <c r="A130" s="61"/>
      <c r="B130" s="129" t="s">
        <v>29</v>
      </c>
      <c r="C130" s="130" t="str">
        <f>Coffrage!$C$1</f>
        <v>Grue GT118 chassi 3.80m x 3.80m HSC 30.70m flèche36.00m</v>
      </c>
      <c r="D130" s="62"/>
      <c r="E130" s="62"/>
      <c r="F130" s="62"/>
      <c r="G130" s="62"/>
      <c r="H130" s="62"/>
      <c r="I130" s="62"/>
      <c r="J130" s="62"/>
      <c r="K130" s="129" t="s">
        <v>112</v>
      </c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3"/>
    </row>
    <row r="131" spans="1:23" ht="12.75">
      <c r="A131" s="131" t="s">
        <v>36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64"/>
    </row>
    <row r="132" spans="1:23" ht="12.75">
      <c r="A132" s="31"/>
      <c r="B132" s="32"/>
      <c r="C132" s="32"/>
      <c r="D132" s="53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64"/>
    </row>
    <row r="133" spans="1:23" ht="12.75">
      <c r="A133" s="67" t="s">
        <v>34</v>
      </c>
      <c r="B133" s="32"/>
      <c r="C133" s="32"/>
      <c r="D133" s="32"/>
      <c r="E133" s="55">
        <f>$H$17*$G$38</f>
        <v>0</v>
      </c>
      <c r="F133" s="60" t="s">
        <v>12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64"/>
    </row>
    <row r="134" spans="1:23" ht="12.75">
      <c r="A134" s="68" t="s">
        <v>23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64"/>
    </row>
    <row r="135" spans="1:23" ht="12.75">
      <c r="A135" s="69" t="s">
        <v>45</v>
      </c>
      <c r="B135" s="32" t="s">
        <v>46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64"/>
    </row>
    <row r="136" spans="1:23" ht="12.75">
      <c r="A136" s="70"/>
      <c r="B136" s="58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64"/>
    </row>
    <row r="137" spans="1:23" ht="12.75">
      <c r="A137" s="132" t="s">
        <v>47</v>
      </c>
      <c r="B137" s="44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64"/>
    </row>
    <row r="138" spans="1:23" ht="12.75">
      <c r="A138" s="31" t="s">
        <v>28</v>
      </c>
      <c r="B138" s="32"/>
      <c r="C138" s="55">
        <f>SQRT(P10^2+Q10^2)</f>
        <v>14.1</v>
      </c>
      <c r="D138" s="32" t="s">
        <v>12</v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64"/>
    </row>
    <row r="139" spans="1:23" ht="12.75">
      <c r="A139" s="70" t="s">
        <v>45</v>
      </c>
      <c r="B139" s="55">
        <f>C138-$E$133</f>
        <v>14.1</v>
      </c>
      <c r="C139" s="32" t="s">
        <v>12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64"/>
    </row>
    <row r="140" spans="1:23" ht="12.75">
      <c r="A140" s="162" t="s">
        <v>107</v>
      </c>
      <c r="B140" s="163"/>
      <c r="C140" s="163"/>
      <c r="D140" s="58">
        <f>$B$139/($Q$8+$P$9+$Q$9+$P$8)*$P$8</f>
        <v>0.9582524271844659</v>
      </c>
      <c r="E140" s="32" t="s">
        <v>103</v>
      </c>
      <c r="F140" s="32"/>
      <c r="G140" s="58">
        <f>D140*$L$18</f>
        <v>3.3155533980582867</v>
      </c>
      <c r="H140" s="94" t="s">
        <v>110</v>
      </c>
      <c r="I140" s="32"/>
      <c r="J140" s="32"/>
      <c r="K140" s="58">
        <f>P8/1.33/$H$13/Coffrage!$H$4/10</f>
        <v>0.06265664160401002</v>
      </c>
      <c r="L140" s="32" t="s">
        <v>105</v>
      </c>
      <c r="M140" s="32"/>
      <c r="N140" s="58">
        <f>Coffrage!$H$4/2-K140/2</f>
        <v>0.668671679197995</v>
      </c>
      <c r="O140" s="32" t="s">
        <v>104</v>
      </c>
      <c r="P140" s="32"/>
      <c r="Q140" s="58">
        <f>P8*N140</f>
        <v>4.680701754385964</v>
      </c>
      <c r="R140" s="54" t="str">
        <f>IF(Q140&lt;G140,"Tm   instable renver.","Tm  stable renver.")</f>
        <v>Tm  stable renver.</v>
      </c>
      <c r="S140" s="32"/>
      <c r="T140" s="32" t="s">
        <v>51</v>
      </c>
      <c r="U140" s="58">
        <f>P8*TAN($H$14*PI()/180)/1.5</f>
        <v>2.694301256218253</v>
      </c>
      <c r="V140" s="54" t="str">
        <f>IF(U140&lt;D140,"T  instable gliss.","stable gliss.")</f>
        <v>stable gliss.</v>
      </c>
      <c r="W140" s="64"/>
    </row>
    <row r="141" spans="1:23" ht="12.75">
      <c r="A141" s="162" t="s">
        <v>106</v>
      </c>
      <c r="B141" s="164"/>
      <c r="C141" s="164"/>
      <c r="D141" s="58">
        <f>$B$139/($Q$8+$P$9+$Q$9+$P$8)*$Q$8</f>
        <v>6.297087378640776</v>
      </c>
      <c r="E141" s="32" t="s">
        <v>103</v>
      </c>
      <c r="F141" s="32"/>
      <c r="G141" s="58">
        <f>D141*$L$18</f>
        <v>21.787922330097313</v>
      </c>
      <c r="H141" s="94" t="s">
        <v>110</v>
      </c>
      <c r="I141" s="94"/>
      <c r="J141" s="32"/>
      <c r="K141" s="58">
        <f>Q8/1.33/$H$13/Coffrage!$H$4/10</f>
        <v>0.41174364482635156</v>
      </c>
      <c r="L141" s="32" t="s">
        <v>105</v>
      </c>
      <c r="M141" s="32"/>
      <c r="N141" s="58">
        <f>Coffrage!$H$4/2-K141/2</f>
        <v>0.49412817758682415</v>
      </c>
      <c r="O141" s="32" t="s">
        <v>104</v>
      </c>
      <c r="P141" s="32"/>
      <c r="Q141" s="58">
        <f>Q8*N141</f>
        <v>22.72989616899391</v>
      </c>
      <c r="R141" s="54" t="str">
        <f>IF(Q141&lt;G141,"Tm   instable renver.","Tm  stable renver.")</f>
        <v>Tm  stable renver.</v>
      </c>
      <c r="S141" s="54"/>
      <c r="T141" s="32" t="s">
        <v>51</v>
      </c>
      <c r="U141" s="58">
        <f>Q8*TAN($H$14*PI()/180)/1.5</f>
        <v>17.705408255148523</v>
      </c>
      <c r="V141" s="54" t="str">
        <f>IF(U141&lt;D141,"T  instable gliss.","stable gliss.")</f>
        <v>stable gliss.</v>
      </c>
      <c r="W141" s="71"/>
    </row>
    <row r="142" spans="1:23" ht="12.75">
      <c r="A142" s="162" t="s">
        <v>108</v>
      </c>
      <c r="B142" s="164"/>
      <c r="C142" s="164"/>
      <c r="D142" s="58">
        <f>$B$139/($Q$8+$P$9+$Q$9+$P$8)*$P$9</f>
        <v>0.5475728155339805</v>
      </c>
      <c r="E142" s="32" t="s">
        <v>103</v>
      </c>
      <c r="F142" s="32"/>
      <c r="G142" s="58">
        <f>D142*$L$18</f>
        <v>1.8946019417475926</v>
      </c>
      <c r="H142" s="94" t="s">
        <v>110</v>
      </c>
      <c r="I142" s="94"/>
      <c r="J142" s="32"/>
      <c r="K142" s="58">
        <f>P9/1.33/$H$13/Coffrage!$H$4/10</f>
        <v>0.03580379520229145</v>
      </c>
      <c r="L142" s="32" t="s">
        <v>105</v>
      </c>
      <c r="M142" s="32"/>
      <c r="N142" s="58">
        <f>Coffrage!$H$4/2-K142/2</f>
        <v>0.6820981023988543</v>
      </c>
      <c r="O142" s="32" t="s">
        <v>104</v>
      </c>
      <c r="P142" s="32"/>
      <c r="Q142" s="58">
        <f>P9*N142</f>
        <v>2.728392409595417</v>
      </c>
      <c r="R142" s="54" t="str">
        <f>IF(Q142&lt;G142,"Tm   instable renver.","Tm  stable renver.")</f>
        <v>Tm  stable renver.</v>
      </c>
      <c r="S142" s="54"/>
      <c r="T142" s="32" t="s">
        <v>51</v>
      </c>
      <c r="U142" s="58">
        <f>P9*TAN($H$14*PI()/180)/1.5</f>
        <v>1.5396007178390019</v>
      </c>
      <c r="V142" s="54" t="str">
        <f>IF(U142&lt;D142,"T  instable gliss.","stable gliss.")</f>
        <v>stable gliss.</v>
      </c>
      <c r="W142" s="71"/>
    </row>
    <row r="143" spans="1:23" ht="12.75">
      <c r="A143" s="162" t="s">
        <v>109</v>
      </c>
      <c r="B143" s="164"/>
      <c r="C143" s="164"/>
      <c r="D143" s="58">
        <f>$B$139/($Q$8+$P$9+$Q$9+$P$8)*$Q$9</f>
        <v>6.297087378640776</v>
      </c>
      <c r="E143" s="32" t="s">
        <v>103</v>
      </c>
      <c r="F143" s="32"/>
      <c r="G143" s="58">
        <f>D143*$L$18</f>
        <v>21.787922330097313</v>
      </c>
      <c r="H143" s="94" t="s">
        <v>110</v>
      </c>
      <c r="I143" s="94"/>
      <c r="J143" s="32"/>
      <c r="K143" s="58">
        <f>Q9/1.33/$H$13/Coffrage!$H$4/10</f>
        <v>0.41174364482635156</v>
      </c>
      <c r="L143" s="32" t="s">
        <v>105</v>
      </c>
      <c r="M143" s="32"/>
      <c r="N143" s="58">
        <f>Coffrage!$H$4/2-K143/2</f>
        <v>0.49412817758682415</v>
      </c>
      <c r="O143" s="32" t="s">
        <v>104</v>
      </c>
      <c r="P143" s="32"/>
      <c r="Q143" s="58">
        <f>Q9*N143</f>
        <v>22.72989616899391</v>
      </c>
      <c r="R143" s="54" t="str">
        <f>IF(Q143&lt;G143,"Tm   instable renver.","Tm  stable renver.")</f>
        <v>Tm  stable renver.</v>
      </c>
      <c r="S143" s="54"/>
      <c r="T143" s="32" t="s">
        <v>51</v>
      </c>
      <c r="U143" s="58">
        <f>Q9*TAN($H$14*PI()/180)/1.5</f>
        <v>17.705408255148523</v>
      </c>
      <c r="V143" s="54" t="str">
        <f>IF(U143&lt;D143,"T  instable gliss.","stable gliss.")</f>
        <v>stable gliss.</v>
      </c>
      <c r="W143" s="71"/>
    </row>
    <row r="144" spans="1:23" ht="12.75">
      <c r="A144" s="70"/>
      <c r="B144" s="55"/>
      <c r="C144" s="32"/>
      <c r="D144" s="32"/>
      <c r="E144" s="58"/>
      <c r="F144" s="32"/>
      <c r="G144" s="32"/>
      <c r="H144" s="58"/>
      <c r="I144" s="32"/>
      <c r="J144" s="33"/>
      <c r="K144" s="58"/>
      <c r="L144" s="32"/>
      <c r="M144" s="32"/>
      <c r="N144" s="58"/>
      <c r="O144" s="32"/>
      <c r="P144" s="32"/>
      <c r="Q144" s="58"/>
      <c r="R144" s="32"/>
      <c r="S144" s="54"/>
      <c r="T144" s="32"/>
      <c r="U144" s="58"/>
      <c r="V144" s="32"/>
      <c r="W144" s="71"/>
    </row>
    <row r="145" spans="1:23" ht="12.75">
      <c r="A145" s="132" t="s">
        <v>49</v>
      </c>
      <c r="B145" s="58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54"/>
      <c r="T145" s="32"/>
      <c r="U145" s="58"/>
      <c r="V145" s="32"/>
      <c r="W145" s="71"/>
    </row>
    <row r="146" spans="1:23" ht="12.75">
      <c r="A146" s="31" t="s">
        <v>28</v>
      </c>
      <c r="B146" s="32"/>
      <c r="C146" s="55">
        <f>SQRT(R10^2+S10^2)</f>
        <v>14.1</v>
      </c>
      <c r="D146" s="32" t="s">
        <v>12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64"/>
    </row>
    <row r="147" spans="1:23" ht="12.75">
      <c r="A147" s="70" t="s">
        <v>45</v>
      </c>
      <c r="B147" s="55">
        <f>C146-$E$133</f>
        <v>14.1</v>
      </c>
      <c r="C147" s="32" t="s">
        <v>12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64"/>
    </row>
    <row r="148" spans="1:23" ht="12.75">
      <c r="A148" s="162" t="s">
        <v>107</v>
      </c>
      <c r="B148" s="164"/>
      <c r="C148" s="164"/>
      <c r="D148" s="58">
        <f>$B$147/($S$8+$R$9+$S$9+$R$8)*$R$8</f>
        <v>6.118867924528302</v>
      </c>
      <c r="E148" s="32" t="s">
        <v>103</v>
      </c>
      <c r="F148" s="32"/>
      <c r="G148" s="58">
        <f>D148*$L$18</f>
        <v>21.171283018868145</v>
      </c>
      <c r="H148" s="94" t="s">
        <v>110</v>
      </c>
      <c r="I148" s="32"/>
      <c r="J148" s="32"/>
      <c r="K148" s="58">
        <f>R8/1.33/$H$13/Coffrage!$H$4/10</f>
        <v>0.41174364482635156</v>
      </c>
      <c r="L148" s="32" t="s">
        <v>105</v>
      </c>
      <c r="M148" s="32"/>
      <c r="N148" s="58">
        <f>Coffrage!$H$4/2-K148/2</f>
        <v>0.49412817758682415</v>
      </c>
      <c r="O148" s="32" t="s">
        <v>104</v>
      </c>
      <c r="P148" s="32"/>
      <c r="Q148" s="58">
        <f>R8*N148</f>
        <v>22.72989616899391</v>
      </c>
      <c r="R148" s="54" t="str">
        <f>IF(Q148&lt;G148,"Tm   instable renver.","Tm  stable renver.")</f>
        <v>Tm  stable renver.</v>
      </c>
      <c r="S148" s="32"/>
      <c r="T148" s="32" t="s">
        <v>51</v>
      </c>
      <c r="U148" s="58">
        <f>R8*TAN($H$14*PI()/180)/1.5</f>
        <v>17.705408255148523</v>
      </c>
      <c r="V148" s="54" t="str">
        <f>IF(U148&lt;D148,"T  instable gliss.","stable gliss.")</f>
        <v>stable gliss.</v>
      </c>
      <c r="W148" s="64"/>
    </row>
    <row r="149" spans="1:23" ht="12.75">
      <c r="A149" s="162" t="s">
        <v>106</v>
      </c>
      <c r="B149" s="164"/>
      <c r="C149" s="164"/>
      <c r="D149" s="58">
        <f>$B$147/($S$8+$R$9+$S$9+$R$8)*$S$8</f>
        <v>6.118867924528302</v>
      </c>
      <c r="E149" s="32" t="s">
        <v>103</v>
      </c>
      <c r="F149" s="32"/>
      <c r="G149" s="58">
        <f>D149*$L$18</f>
        <v>21.171283018868145</v>
      </c>
      <c r="H149" s="94" t="s">
        <v>110</v>
      </c>
      <c r="I149" s="94"/>
      <c r="J149" s="32"/>
      <c r="K149" s="58">
        <f>S8/1.33/$H$13/Coffrage!$H$4/10</f>
        <v>0.41174364482635156</v>
      </c>
      <c r="L149" s="32" t="s">
        <v>105</v>
      </c>
      <c r="M149" s="32"/>
      <c r="N149" s="58">
        <f>Coffrage!$H$4/2-K149/2</f>
        <v>0.49412817758682415</v>
      </c>
      <c r="O149" s="32" t="s">
        <v>104</v>
      </c>
      <c r="P149" s="32"/>
      <c r="Q149" s="58">
        <f>S8*N149</f>
        <v>22.72989616899391</v>
      </c>
      <c r="R149" s="54" t="str">
        <f>IF(Q149&lt;G149,"Tm   instable renver.","Tm  stable renver.")</f>
        <v>Tm  stable renver.</v>
      </c>
      <c r="S149" s="54"/>
      <c r="T149" s="32" t="s">
        <v>51</v>
      </c>
      <c r="U149" s="58">
        <f>S8*TAN($H$14*PI()/180)/1.5</f>
        <v>17.705408255148523</v>
      </c>
      <c r="V149" s="54" t="str">
        <f>IF(U149&lt;D149,"T  instable gliss.","stable gliss.")</f>
        <v>stable gliss.</v>
      </c>
      <c r="W149" s="71"/>
    </row>
    <row r="150" spans="1:23" ht="12.75">
      <c r="A150" s="162" t="s">
        <v>108</v>
      </c>
      <c r="B150" s="164"/>
      <c r="C150" s="164"/>
      <c r="D150" s="58">
        <f>$B$147/($S$8+$R$9+$S$9+$R$8)*$R$9</f>
        <v>0.9311320754716981</v>
      </c>
      <c r="E150" s="32" t="s">
        <v>103</v>
      </c>
      <c r="F150" s="32"/>
      <c r="G150" s="58">
        <f>D150*$L$18</f>
        <v>3.221716981132109</v>
      </c>
      <c r="H150" s="94" t="s">
        <v>110</v>
      </c>
      <c r="I150" s="94"/>
      <c r="J150" s="32"/>
      <c r="K150" s="58">
        <f>R9/1.33/$H$13/Coffrage!$H$4/10</f>
        <v>0.06265664160401002</v>
      </c>
      <c r="L150" s="32" t="s">
        <v>105</v>
      </c>
      <c r="M150" s="32"/>
      <c r="N150" s="58">
        <f>Coffrage!$H$4/2-K150/2</f>
        <v>0.668671679197995</v>
      </c>
      <c r="O150" s="32" t="s">
        <v>104</v>
      </c>
      <c r="P150" s="32"/>
      <c r="Q150" s="58">
        <f>R9*N150</f>
        <v>4.680701754385964</v>
      </c>
      <c r="R150" s="54" t="str">
        <f>IF(Q150&lt;G150,"Tm   instable renver.","Tm  stable renver.")</f>
        <v>Tm  stable renver.</v>
      </c>
      <c r="S150" s="54"/>
      <c r="T150" s="32" t="s">
        <v>51</v>
      </c>
      <c r="U150" s="58">
        <f>R9*TAN($H$14*PI()/180)/1.5</f>
        <v>2.694301256218253</v>
      </c>
      <c r="V150" s="54" t="str">
        <f>IF(U150&lt;D150,"T  instable gliss.","stable gliss.")</f>
        <v>stable gliss.</v>
      </c>
      <c r="W150" s="71"/>
    </row>
    <row r="151" spans="1:23" ht="12.75">
      <c r="A151" s="162" t="s">
        <v>109</v>
      </c>
      <c r="B151" s="164"/>
      <c r="C151" s="164"/>
      <c r="D151" s="58">
        <f>$B$147/($S$8+$R$9+$S$9+$R$8)*$S$9</f>
        <v>0.9311320754716981</v>
      </c>
      <c r="E151" s="32" t="s">
        <v>103</v>
      </c>
      <c r="F151" s="32"/>
      <c r="G151" s="58">
        <f>D151*$L$18</f>
        <v>3.221716981132109</v>
      </c>
      <c r="H151" s="94" t="s">
        <v>110</v>
      </c>
      <c r="I151" s="94"/>
      <c r="J151" s="32"/>
      <c r="K151" s="58">
        <f>S9/1.33/$H$13/Coffrage!$H$4/10</f>
        <v>0.06265664160401002</v>
      </c>
      <c r="L151" s="32" t="s">
        <v>105</v>
      </c>
      <c r="M151" s="32"/>
      <c r="N151" s="58">
        <f>Coffrage!$H$4/2-K151/2</f>
        <v>0.668671679197995</v>
      </c>
      <c r="O151" s="32" t="s">
        <v>104</v>
      </c>
      <c r="P151" s="32"/>
      <c r="Q151" s="58">
        <f>S9*N151</f>
        <v>4.680701754385964</v>
      </c>
      <c r="R151" s="54" t="str">
        <f>IF(Q151&lt;G151,"Tm   instable renver.","Tm  stable renver.")</f>
        <v>Tm  stable renver.</v>
      </c>
      <c r="S151" s="54"/>
      <c r="T151" s="32" t="s">
        <v>51</v>
      </c>
      <c r="U151" s="58">
        <f>S9*TAN($H$14*PI()/180)/1.5</f>
        <v>2.694301256218253</v>
      </c>
      <c r="V151" s="54" t="str">
        <f>IF(U151&lt;D151,"T  instable gliss.","stable gliss.")</f>
        <v>stable gliss.</v>
      </c>
      <c r="W151" s="71"/>
    </row>
    <row r="152" spans="1:23" ht="12.75">
      <c r="A152" s="70"/>
      <c r="B152" s="55"/>
      <c r="C152" s="32"/>
      <c r="D152" s="32"/>
      <c r="E152" s="58"/>
      <c r="F152" s="32"/>
      <c r="G152" s="32"/>
      <c r="H152" s="58"/>
      <c r="I152" s="32"/>
      <c r="J152" s="33"/>
      <c r="K152" s="58"/>
      <c r="L152" s="32"/>
      <c r="M152" s="32"/>
      <c r="N152" s="58"/>
      <c r="O152" s="32"/>
      <c r="P152" s="32"/>
      <c r="Q152" s="58"/>
      <c r="R152" s="32"/>
      <c r="S152" s="54"/>
      <c r="T152" s="32"/>
      <c r="U152" s="58"/>
      <c r="V152" s="32"/>
      <c r="W152" s="71"/>
    </row>
    <row r="153" spans="1:23" ht="12.75">
      <c r="A153" s="132" t="s">
        <v>50</v>
      </c>
      <c r="B153" s="58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54"/>
      <c r="T153" s="32"/>
      <c r="U153" s="58"/>
      <c r="V153" s="32"/>
      <c r="W153" s="71"/>
    </row>
    <row r="154" spans="1:23" ht="12.75">
      <c r="A154" s="31" t="s">
        <v>28</v>
      </c>
      <c r="B154" s="32"/>
      <c r="C154" s="55">
        <f>SQRT(T10^2+U10^2)</f>
        <v>15.132085117392116</v>
      </c>
      <c r="D154" s="32" t="s">
        <v>12</v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64"/>
    </row>
    <row r="155" spans="1:23" ht="12.75">
      <c r="A155" s="70" t="s">
        <v>45</v>
      </c>
      <c r="B155" s="55">
        <f>C154-$E$133</f>
        <v>15.132085117392116</v>
      </c>
      <c r="C155" s="32" t="s">
        <v>12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64"/>
    </row>
    <row r="156" spans="1:23" ht="12.75">
      <c r="A156" s="162" t="s">
        <v>107</v>
      </c>
      <c r="B156" s="164"/>
      <c r="C156" s="164"/>
      <c r="D156" s="58">
        <f>$B$155/($U$8+$T$9+$U$9+$T$8)*$T$8</f>
        <v>4.563644717943654</v>
      </c>
      <c r="E156" s="32" t="s">
        <v>103</v>
      </c>
      <c r="F156" s="32"/>
      <c r="G156" s="58">
        <f>D156*$L$18</f>
        <v>15.790210724085208</v>
      </c>
      <c r="H156" s="94" t="s">
        <v>110</v>
      </c>
      <c r="I156" s="32"/>
      <c r="J156" s="32"/>
      <c r="K156" s="58">
        <f>T8/1.33/$H$13/Coffrage!$H$4/10</f>
        <v>0.34013605442176875</v>
      </c>
      <c r="L156" s="32" t="s">
        <v>105</v>
      </c>
      <c r="M156" s="32"/>
      <c r="N156" s="58">
        <f>Coffrage!$H$4/2-K156/2</f>
        <v>0.5299319727891156</v>
      </c>
      <c r="O156" s="32" t="s">
        <v>104</v>
      </c>
      <c r="P156" s="32"/>
      <c r="Q156" s="58">
        <f>T8*N156</f>
        <v>20.137414965986395</v>
      </c>
      <c r="R156" s="54" t="str">
        <f>IF(Q156&lt;G156,"Tm   instable renver.","Tm  stable renver.")</f>
        <v>Tm  stable renver.</v>
      </c>
      <c r="S156" s="32"/>
      <c r="T156" s="32" t="s">
        <v>51</v>
      </c>
      <c r="U156" s="58">
        <f>T8*TAN($H$14*PI()/180)/1.5</f>
        <v>14.626206819470518</v>
      </c>
      <c r="V156" s="54" t="str">
        <f>IF(U156&lt;D156,"T  instable gliss.","stable gliss.")</f>
        <v>stable gliss.</v>
      </c>
      <c r="W156" s="64"/>
    </row>
    <row r="157" spans="1:23" ht="12.75">
      <c r="A157" s="162" t="s">
        <v>106</v>
      </c>
      <c r="B157" s="164"/>
      <c r="C157" s="164"/>
      <c r="D157" s="58">
        <f>$B$155/($U$8+$T$9+$U$9+$T$8)*$U$8</f>
        <v>7.0856589041756735</v>
      </c>
      <c r="E157" s="32" t="s">
        <v>103</v>
      </c>
      <c r="F157" s="32"/>
      <c r="G157" s="58">
        <f>D157*$L$18</f>
        <v>24.51637980844809</v>
      </c>
      <c r="H157" s="94" t="s">
        <v>110</v>
      </c>
      <c r="I157" s="94"/>
      <c r="J157" s="32"/>
      <c r="K157" s="58">
        <f>U8/1.33/$H$13/Coffrage!$H$4/10</f>
        <v>0.5281059792337988</v>
      </c>
      <c r="L157" s="32" t="s">
        <v>105</v>
      </c>
      <c r="M157" s="32"/>
      <c r="N157" s="58">
        <f>Coffrage!$H$4/2-K157/2</f>
        <v>0.4359470103831006</v>
      </c>
      <c r="O157" s="32" t="s">
        <v>104</v>
      </c>
      <c r="P157" s="32"/>
      <c r="Q157" s="58">
        <f>U8*N157</f>
        <v>25.720873612602933</v>
      </c>
      <c r="R157" s="54" t="str">
        <f>IF(Q157&lt;G157,"Tm   instable renver.","Tm  stable renver.")</f>
        <v>Tm  stable renver.</v>
      </c>
      <c r="S157" s="54"/>
      <c r="T157" s="32" t="s">
        <v>51</v>
      </c>
      <c r="U157" s="58">
        <f>U8*TAN($H$14*PI()/180)/1.5</f>
        <v>22.70911058812528</v>
      </c>
      <c r="V157" s="54" t="str">
        <f>IF(U157&lt;D157,"T  instable gliss.","stable gliss.")</f>
        <v>stable gliss.</v>
      </c>
      <c r="W157" s="71"/>
    </row>
    <row r="158" spans="1:23" ht="12.75">
      <c r="A158" s="162" t="s">
        <v>108</v>
      </c>
      <c r="B158" s="164"/>
      <c r="C158" s="164"/>
      <c r="D158" s="58">
        <f>$B$155/($U$8+$T$9+$U$9+$T$8)*$T$9</f>
        <v>0</v>
      </c>
      <c r="E158" s="32" t="s">
        <v>103</v>
      </c>
      <c r="F158" s="32"/>
      <c r="G158" s="58">
        <f>D158*$L$18</f>
        <v>0</v>
      </c>
      <c r="H158" s="94" t="s">
        <v>110</v>
      </c>
      <c r="I158" s="94"/>
      <c r="J158" s="32"/>
      <c r="K158" s="58">
        <f>T9/1.33/$H$13/Coffrage!$H$4/10</f>
        <v>0</v>
      </c>
      <c r="L158" s="32" t="s">
        <v>105</v>
      </c>
      <c r="M158" s="32"/>
      <c r="N158" s="58">
        <f>Coffrage!$H$4/2-K158/2</f>
        <v>0.7</v>
      </c>
      <c r="O158" s="32" t="s">
        <v>104</v>
      </c>
      <c r="P158" s="32"/>
      <c r="Q158" s="58">
        <f>T9*N158</f>
        <v>0</v>
      </c>
      <c r="R158" s="54" t="str">
        <f>IF(Q158&lt;G158,"Tm   instable renver.","Tm  stable renver.")</f>
        <v>Tm  stable renver.</v>
      </c>
      <c r="S158" s="54"/>
      <c r="T158" s="32" t="s">
        <v>51</v>
      </c>
      <c r="U158" s="58">
        <f>T9*TAN($H$14*PI()/180)/1.5</f>
        <v>0</v>
      </c>
      <c r="V158" s="54" t="str">
        <f>IF(U158&lt;D158,"T  instable gliss.","stable gliss.")</f>
        <v>stable gliss.</v>
      </c>
      <c r="W158" s="71"/>
    </row>
    <row r="159" spans="1:23" ht="12.75">
      <c r="A159" s="162" t="s">
        <v>109</v>
      </c>
      <c r="B159" s="164"/>
      <c r="C159" s="164"/>
      <c r="D159" s="58">
        <f>$B$155/($U$8+$T$9+$U$9+$T$8)*$U$9</f>
        <v>3.4827814952727887</v>
      </c>
      <c r="E159" s="32" t="s">
        <v>103</v>
      </c>
      <c r="F159" s="32"/>
      <c r="G159" s="58">
        <f>D159*$L$18</f>
        <v>12.050423973643976</v>
      </c>
      <c r="H159" s="94" t="s">
        <v>110</v>
      </c>
      <c r="I159" s="94"/>
      <c r="J159" s="32"/>
      <c r="K159" s="58">
        <f>U9/1.33/$H$13/Coffrage!$H$4/10</f>
        <v>0.259577515216613</v>
      </c>
      <c r="L159" s="32" t="s">
        <v>105</v>
      </c>
      <c r="M159" s="32"/>
      <c r="N159" s="58">
        <f>Coffrage!$H$4/2-K159/2</f>
        <v>0.5702112423916934</v>
      </c>
      <c r="O159" s="32" t="s">
        <v>104</v>
      </c>
      <c r="P159" s="32"/>
      <c r="Q159" s="58">
        <f>U9*N159</f>
        <v>16.53612602935911</v>
      </c>
      <c r="R159" s="54" t="str">
        <f>IF(Q159&lt;G159,"Tm   instable renver.","Tm  stable renver.")</f>
        <v>Tm  stable renver.</v>
      </c>
      <c r="S159" s="54"/>
      <c r="T159" s="32" t="s">
        <v>51</v>
      </c>
      <c r="U159" s="58">
        <f>U9*TAN($H$14*PI()/180)/1.5</f>
        <v>11.162105204332763</v>
      </c>
      <c r="V159" s="54" t="str">
        <f>IF(U159&lt;D159,"T  instable gliss.","stable gliss.")</f>
        <v>stable gliss.</v>
      </c>
      <c r="W159" s="71"/>
    </row>
    <row r="160" spans="1:23" ht="13.5" thickBot="1">
      <c r="A160" s="123"/>
      <c r="B160" s="124"/>
      <c r="C160" s="65"/>
      <c r="D160" s="65"/>
      <c r="E160" s="125"/>
      <c r="F160" s="65"/>
      <c r="G160" s="65"/>
      <c r="H160" s="125"/>
      <c r="I160" s="65"/>
      <c r="J160" s="126"/>
      <c r="K160" s="125"/>
      <c r="L160" s="65"/>
      <c r="M160" s="65"/>
      <c r="N160" s="125"/>
      <c r="O160" s="65"/>
      <c r="P160" s="65"/>
      <c r="Q160" s="125"/>
      <c r="R160" s="65"/>
      <c r="S160" s="127"/>
      <c r="T160" s="65"/>
      <c r="U160" s="125"/>
      <c r="V160" s="65"/>
      <c r="W160" s="128"/>
    </row>
  </sheetData>
  <mergeCells count="36">
    <mergeCell ref="D6:O6"/>
    <mergeCell ref="B114:F114"/>
    <mergeCell ref="B115:B126"/>
    <mergeCell ref="B63:B74"/>
    <mergeCell ref="B75:F75"/>
    <mergeCell ref="B76:B87"/>
    <mergeCell ref="B88:F88"/>
    <mergeCell ref="L7:M7"/>
    <mergeCell ref="B49:F49"/>
    <mergeCell ref="A158:C158"/>
    <mergeCell ref="A159:C159"/>
    <mergeCell ref="A150:C150"/>
    <mergeCell ref="A151:C151"/>
    <mergeCell ref="A156:C156"/>
    <mergeCell ref="A157:C157"/>
    <mergeCell ref="A142:C142"/>
    <mergeCell ref="A143:C143"/>
    <mergeCell ref="A148:C148"/>
    <mergeCell ref="A149:C149"/>
    <mergeCell ref="R7:S7"/>
    <mergeCell ref="A140:C140"/>
    <mergeCell ref="A141:C141"/>
    <mergeCell ref="B89:B100"/>
    <mergeCell ref="B101:F101"/>
    <mergeCell ref="B102:B113"/>
    <mergeCell ref="N7:O7"/>
    <mergeCell ref="T7:U7"/>
    <mergeCell ref="B50:B61"/>
    <mergeCell ref="B62:F62"/>
    <mergeCell ref="P6:U6"/>
    <mergeCell ref="D24:J24"/>
    <mergeCell ref="D7:E7"/>
    <mergeCell ref="F7:G7"/>
    <mergeCell ref="H7:I7"/>
    <mergeCell ref="J7:K7"/>
    <mergeCell ref="P7:Q7"/>
  </mergeCells>
  <printOptions/>
  <pageMargins left="0.45" right="0.46" top="0.52" bottom="0.8" header="0.24" footer="0.3"/>
  <pageSetup horizontalDpi="300" verticalDpi="300" orientation="landscape" paperSize="9" scale="90" r:id="rId4"/>
  <headerFooter alignWithMargins="0">
    <oddFooter>&amp;RPage &amp;P</oddFooter>
  </headerFooter>
  <rowBreaks count="2" manualBreakCount="2">
    <brk id="47" max="255" man="1"/>
    <brk id="8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2003-02-07T20:04:57Z</cp:lastPrinted>
  <dcterms:created xsi:type="dcterms:W3CDTF">2001-09-25T11:44:35Z</dcterms:created>
  <dcterms:modified xsi:type="dcterms:W3CDTF">2002-10-20T11:21:07Z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