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60" windowWidth="6795" windowHeight="8955" activeTab="1"/>
  </bookViews>
  <sheets>
    <sheet name="Feuil3" sheetId="1" r:id="rId1"/>
    <sheet name="Calculs" sheetId="2" r:id="rId2"/>
    <sheet name="Mode d'Emploi" sheetId="3" r:id="rId3"/>
  </sheets>
  <definedNames>
    <definedName name="AA">'Calculs'!$L$44:$L$75</definedName>
    <definedName name="AVA">'Calculs'!$K$9</definedName>
    <definedName name="AVB">'Calculs'!$K$10</definedName>
    <definedName name="AX">'Calculs'!$H$44:$H$75</definedName>
    <definedName name="AXK">'Calculs'!$J$44:$J$75</definedName>
    <definedName name="AY">'Calculs'!$I$44:$I$75</definedName>
    <definedName name="AYK">'Calculs'!$K$44:$K$75</definedName>
    <definedName name="BX">'Calculs'!$B$44:$B$75</definedName>
    <definedName name="BXK">'Calculs'!$D$44:$D$75</definedName>
    <definedName name="BY">'Calculs'!$C$44:$C$75</definedName>
    <definedName name="BYK">'Calculs'!$E$44:$E$75</definedName>
    <definedName name="cas">'Calculs'!$AU$60</definedName>
    <definedName name="coa">'Calculs'!$G$44:$I$75</definedName>
    <definedName name="coag">'Calculs'!$J$44:$K$75</definedName>
    <definedName name="cob">'Calculs'!$B$44:$C$75</definedName>
    <definedName name="cosig">'Calculs'!$AE$32</definedName>
    <definedName name="cost">'Calculs'!$V$22</definedName>
    <definedName name="d">'Calculs'!$AI$41</definedName>
    <definedName name="ecc1">'Calculs'!$AE$10</definedName>
    <definedName name="ecc12">'Calculs'!$AE$20</definedName>
    <definedName name="ecc2">'Calculs'!$AE$12</definedName>
    <definedName name="ecM">'Calculs'!$AE$31</definedName>
    <definedName name="ecu">'Calculs'!$AE$21</definedName>
    <definedName name="ecu1">'Calculs'!$AE$11</definedName>
    <definedName name="ecu2">'Calculs'!$AE$13</definedName>
    <definedName name="ELU">'Calculs'!$C$14</definedName>
    <definedName name="esM">'Calculs'!$AE$30</definedName>
    <definedName name="eso">'Calculs'!$AE$16</definedName>
    <definedName name="eud">'Calculs'!$AE$15</definedName>
    <definedName name="euk">'Calculs'!$AE$19</definedName>
    <definedName name="ex">'Calculs'!$C$12</definedName>
    <definedName name="exg">'Calculs'!$D$34</definedName>
    <definedName name="ey">'Calculs'!$C$13</definedName>
    <definedName name="eyg">'Calculs'!$D$35</definedName>
    <definedName name="fck">'Calculs'!$C$15</definedName>
    <definedName name="fcm">'Calculs'!$AE$9</definedName>
    <definedName name="fyk">'Calculs'!$C$16</definedName>
    <definedName name="gc">'Calculs'!$AA$1</definedName>
    <definedName name="GFR">'Calculs'!$AD$27</definedName>
    <definedName name="gs">'Calculs'!$AA$2</definedName>
    <definedName name="h">'Calculs'!$AE$29</definedName>
    <definedName name="kc">'Calculs'!$AE$22</definedName>
    <definedName name="ks">'Calculs'!$AE$18</definedName>
    <definedName name="Na">'Calculs'!$C$9</definedName>
    <definedName name="Nb">'Calculs'!$C$8</definedName>
    <definedName name="nc">'Calculs'!$AE$14</definedName>
    <definedName name="neq">'Calculs'!$T$3</definedName>
    <definedName name="Np">'Calculs'!$C$7</definedName>
    <definedName name="P">'Calculs'!$C$11</definedName>
    <definedName name="PAT1">'Calculs'!$W$1</definedName>
    <definedName name="PAT2">'Calculs'!$W$2</definedName>
    <definedName name="PAT3">'Calculs'!$W$3</definedName>
    <definedName name="phi">'Calculs'!$X$12</definedName>
    <definedName name="phir">'Calculs'!$AA$89</definedName>
    <definedName name="preci">'Calculs'!$BB$14</definedName>
    <definedName name="sc">'Calculs'!$C$18</definedName>
    <definedName name="sint">'Calculs'!$V$21</definedName>
    <definedName name="ss">'Calculs'!$C$19</definedName>
    <definedName name="tabfck">'Calculs'!$Y$37:$AG$50</definedName>
    <definedName name="typ">'Calculs'!$I$18</definedName>
    <definedName name="u">'Calculs'!$AL$25</definedName>
    <definedName name="uo">'Calculs'!$V$24</definedName>
    <definedName name="v">'Calculs'!$AL$26</definedName>
    <definedName name="vo">'Calculs'!$V$25</definedName>
    <definedName name="w">'Calculs'!$AL$27</definedName>
    <definedName name="wo">'Calculs'!$V$26</definedName>
    <definedName name="xg">'Calculs'!$X$10</definedName>
    <definedName name="yg">'Calculs'!$X$11</definedName>
    <definedName name="_xlnm.Print_Area" localSheetId="1">'Calculs'!$A$1:$N$165</definedName>
    <definedName name="_xlnm.Print_Area" localSheetId="0">'Feuil3'!$A$1:$N$30</definedName>
  </definedNames>
  <calcPr fullCalcOnLoad="1"/>
</workbook>
</file>

<file path=xl/comments2.xml><?xml version="1.0" encoding="utf-8"?>
<comments xmlns="http://schemas.openxmlformats.org/spreadsheetml/2006/main">
  <authors>
    <author>Henry</author>
  </authors>
  <commentList>
    <comment ref="I18" authorId="0">
      <text>
        <r>
          <rPr>
            <b/>
            <sz val="8"/>
            <rFont val="Tahoma"/>
            <family val="2"/>
          </rPr>
          <t>1 = diagramme parabole-rectangle de la figure 3.3 de l'EC2
2 = diagramme de Sargin de l'Eq. 3.14 de l'EC2</t>
        </r>
      </text>
    </comment>
    <comment ref="C18" authorId="0">
      <text>
        <r>
          <rPr>
            <b/>
            <sz val="8"/>
            <rFont val="Tahoma"/>
            <family val="2"/>
          </rPr>
          <t>En général 0,6 f</t>
        </r>
        <r>
          <rPr>
            <b/>
            <vertAlign val="subscript"/>
            <sz val="8"/>
            <rFont val="Tahoma"/>
            <family val="2"/>
          </rPr>
          <t>ck</t>
        </r>
        <r>
          <rPr>
            <b/>
            <sz val="8"/>
            <rFont val="Tahoma"/>
            <family val="2"/>
          </rPr>
          <t xml:space="preserve"> 
Voir art. 7.2 de l'EC2</t>
        </r>
      </text>
    </comment>
    <comment ref="I21" authorId="0">
      <text>
        <r>
          <rPr>
            <b/>
            <sz val="8"/>
            <rFont val="Tahoma"/>
            <family val="2"/>
          </rPr>
          <t>A = acier peu ductile
B = acier moyennement ductile
C = acier très ductile
D = diagramme à palier horizontal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Si le programme ne donne pas de résultats, augmenter N</t>
        </r>
        <r>
          <rPr>
            <b/>
            <vertAlign val="subscript"/>
            <sz val="8"/>
            <rFont val="Tahoma"/>
            <family val="2"/>
          </rPr>
          <t>p</t>
        </r>
      </text>
    </comment>
    <comment ref="B44" authorId="0">
      <text>
        <r>
          <rPr>
            <b/>
            <sz val="8"/>
            <rFont val="Tahoma"/>
            <family val="2"/>
          </rPr>
          <t>Nb lignes</t>
        </r>
        <r>
          <rPr>
            <sz val="8"/>
            <rFont val="Tahoma"/>
            <family val="2"/>
          </rPr>
          <t xml:space="preserve">
Le programme referme automatiquement sur le premier point</t>
        </r>
      </text>
    </comment>
    <comment ref="G44" authorId="0">
      <text>
        <r>
          <rPr>
            <b/>
            <sz val="8"/>
            <rFont val="Tahoma"/>
            <family val="2"/>
          </rPr>
          <t>Na lignes</t>
        </r>
      </text>
    </comment>
    <comment ref="I22" authorId="0">
      <text>
        <r>
          <rPr>
            <b/>
            <sz val="9"/>
            <rFont val="Tahoma"/>
            <family val="2"/>
          </rPr>
          <t>=0 : non prise en compte des armatures comprimées
=1 : prise en compte des armatures comprimées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<sst xmlns="http://schemas.openxmlformats.org/spreadsheetml/2006/main" count="467" uniqueCount="310">
  <si>
    <r>
      <t>Le nombre de pas N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 xml:space="preserve"> permet d'afiiner la précision des calculs</t>
    </r>
  </si>
  <si>
    <r>
      <t>Le temps de calcul est proportionnel au cube de N</t>
    </r>
    <r>
      <rPr>
        <vertAlign val="subscript"/>
        <sz val="9"/>
        <rFont val="Arial"/>
        <family val="2"/>
      </rPr>
      <t>p</t>
    </r>
  </si>
  <si>
    <t xml:space="preserve">        Section brute</t>
  </si>
  <si>
    <t xml:space="preserve">         Section nette</t>
  </si>
  <si>
    <t>exgo</t>
  </si>
  <si>
    <t>eygo</t>
  </si>
  <si>
    <t>xo</t>
  </si>
  <si>
    <t>yo</t>
  </si>
  <si>
    <t>Pdifo</t>
  </si>
  <si>
    <t>mars 2005</t>
  </si>
  <si>
    <r>
      <t>A</t>
    </r>
    <r>
      <rPr>
        <vertAlign val="subscript"/>
        <sz val="9"/>
        <rFont val="Arial"/>
        <family val="2"/>
      </rPr>
      <t>c</t>
    </r>
  </si>
  <si>
    <r>
      <t>I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/ G</t>
    </r>
  </si>
  <si>
    <r>
      <t>moment d'inertie I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/Gx</t>
    </r>
  </si>
  <si>
    <r>
      <t>I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/ G</t>
    </r>
  </si>
  <si>
    <r>
      <t>moment d'inertie I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>/Gx</t>
    </r>
  </si>
  <si>
    <r>
      <t>I</t>
    </r>
    <r>
      <rPr>
        <vertAlign val="subscript"/>
        <sz val="9"/>
        <rFont val="Arial"/>
        <family val="2"/>
      </rPr>
      <t>xy</t>
    </r>
    <r>
      <rPr>
        <sz val="9"/>
        <rFont val="Arial"/>
        <family val="2"/>
      </rPr>
      <t xml:space="preserve"> / G</t>
    </r>
  </si>
  <si>
    <r>
      <t>moment d'inertie I</t>
    </r>
    <r>
      <rPr>
        <vertAlign val="subscript"/>
        <sz val="9"/>
        <rFont val="Arial"/>
        <family val="2"/>
      </rPr>
      <t>xy</t>
    </r>
    <r>
      <rPr>
        <sz val="9"/>
        <rFont val="Arial"/>
        <family val="2"/>
      </rPr>
      <t>/Gx</t>
    </r>
  </si>
  <si>
    <r>
      <t>I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/ G</t>
    </r>
  </si>
  <si>
    <r>
      <t>moment d'inertie principale I</t>
    </r>
    <r>
      <rPr>
        <vertAlign val="subscript"/>
        <sz val="9"/>
        <rFont val="Arial"/>
        <family val="2"/>
      </rPr>
      <t>1</t>
    </r>
  </si>
  <si>
    <r>
      <t>I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/ G</t>
    </r>
  </si>
  <si>
    <r>
      <t>moment d'inertie principale I</t>
    </r>
    <r>
      <rPr>
        <vertAlign val="subscript"/>
        <sz val="9"/>
        <rFont val="Arial"/>
        <family val="2"/>
      </rPr>
      <t>2</t>
    </r>
  </si>
  <si>
    <r>
      <t>S</t>
    </r>
    <r>
      <rPr>
        <sz val="9"/>
        <rFont val="Arial"/>
        <family val="2"/>
      </rPr>
      <t xml:space="preserve"> A</t>
    </r>
    <r>
      <rPr>
        <vertAlign val="subscript"/>
        <sz val="9"/>
        <rFont val="Arial"/>
        <family val="2"/>
      </rPr>
      <t>s</t>
    </r>
  </si>
  <si>
    <t>MPa</t>
  </si>
  <si>
    <t>ELS/ELU</t>
  </si>
  <si>
    <t>axe neutre</t>
  </si>
  <si>
    <t>aire</t>
  </si>
  <si>
    <t>Ø</t>
  </si>
  <si>
    <t>xmax</t>
  </si>
  <si>
    <t>xmin</t>
  </si>
  <si>
    <t>ymax</t>
  </si>
  <si>
    <t>ymin</t>
  </si>
  <si>
    <t xml:space="preserve">               béton</t>
  </si>
  <si>
    <t xml:space="preserve">             acier</t>
  </si>
  <si>
    <t>xG</t>
  </si>
  <si>
    <t>yG</t>
  </si>
  <si>
    <t>phi</t>
  </si>
  <si>
    <t>aire totale béton</t>
  </si>
  <si>
    <t>section totale d'acier</t>
  </si>
  <si>
    <t>Résultats</t>
  </si>
  <si>
    <t>aciers</t>
  </si>
  <si>
    <t>charge</t>
  </si>
  <si>
    <t>d°</t>
  </si>
  <si>
    <t>avant</t>
  </si>
  <si>
    <t>après</t>
  </si>
  <si>
    <t>cdg</t>
  </si>
  <si>
    <t>phi (°)</t>
  </si>
  <si>
    <t>brut</t>
  </si>
  <si>
    <t>net</t>
  </si>
  <si>
    <t xml:space="preserve">      Béton</t>
  </si>
  <si>
    <t>seuls</t>
  </si>
  <si>
    <t>Aciers</t>
  </si>
  <si>
    <t>amplith</t>
  </si>
  <si>
    <t xml:space="preserve">  ELS=1   ;    ELU=2</t>
  </si>
  <si>
    <t>ord. CdG</t>
  </si>
  <si>
    <t>inclinaison axes principaux</t>
  </si>
  <si>
    <t>CAS ICI =</t>
  </si>
  <si>
    <t/>
  </si>
  <si>
    <t>theta min</t>
  </si>
  <si>
    <t>theta max</t>
  </si>
  <si>
    <t>entièrement comprimée en ELS</t>
  </si>
  <si>
    <t>partiellement tendue en ELS</t>
  </si>
  <si>
    <t>entièrement comprimée en ELU</t>
  </si>
  <si>
    <t>partiellement tendue en ELU</t>
  </si>
  <si>
    <r>
      <t>M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= moment par rapport à l'axe Ox   et M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= moment par rapport à l'axe Oy</t>
    </r>
  </si>
  <si>
    <t xml:space="preserve">ELU avec diagramme parabole-rectangle : type = 1    ;    ELU avec diagramme de l'équation 3.14 de l'EC2 : type = 2 </t>
  </si>
  <si>
    <t>Henry THONIER</t>
  </si>
  <si>
    <t>neq</t>
  </si>
  <si>
    <t xml:space="preserve"> effort normal en ELS ou ELU, en section entièrement comprimée ou partiellement tendue</t>
  </si>
  <si>
    <t>Calcul de section quelconque de béton armé en flexion composée ou déviée avec ou sans</t>
  </si>
  <si>
    <t>béton seul</t>
  </si>
  <si>
    <t>section</t>
  </si>
  <si>
    <t>inertie/GX</t>
  </si>
  <si>
    <t>inertie/GY</t>
  </si>
  <si>
    <r>
      <t>m</t>
    </r>
    <r>
      <rPr>
        <vertAlign val="superscript"/>
        <sz val="9"/>
        <rFont val="Arial"/>
        <family val="2"/>
      </rPr>
      <t>4</t>
    </r>
  </si>
  <si>
    <t>Effort normal (MN)</t>
  </si>
  <si>
    <r>
      <t>Dans le cas où l'effort normal n'est pas nul, on introduira les coordonnées du point d'application de cet effort : abscisse e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et ordonnée e</t>
    </r>
    <r>
      <rPr>
        <vertAlign val="subscript"/>
        <sz val="9"/>
        <rFont val="Arial"/>
        <family val="2"/>
      </rPr>
      <t>y</t>
    </r>
  </si>
  <si>
    <t>EC ELS</t>
  </si>
  <si>
    <t>PT ELS</t>
  </si>
  <si>
    <t>EC ELU</t>
  </si>
  <si>
    <t>PT ELU</t>
  </si>
  <si>
    <t xml:space="preserve">  ELS = 1 : Ent. Compr.</t>
  </si>
  <si>
    <t xml:space="preserve">  ELS = 1 : Part. tendue</t>
  </si>
  <si>
    <t>kmult</t>
  </si>
  <si>
    <t>ECU</t>
  </si>
  <si>
    <t>ec12EC</t>
  </si>
  <si>
    <t>ECS</t>
  </si>
  <si>
    <t>PTS</t>
  </si>
  <si>
    <t>ETU</t>
  </si>
  <si>
    <t>($C11;$D11; F$9; Nb;BXK; BYK; Na; AXK; AYK; AA; neq; exg; eyg;typ;fck;gc;ecc12;ecu;kc;nc;eud;fyk;gs;ks;euk;eso;ELU)</t>
  </si>
  <si>
    <t>UA Pto</t>
  </si>
  <si>
    <t>UA Eco</t>
  </si>
  <si>
    <t>RETENU</t>
  </si>
  <si>
    <t>thetao</t>
  </si>
  <si>
    <t>sinthetao</t>
  </si>
  <si>
    <t>costhetao</t>
  </si>
  <si>
    <t xml:space="preserve">            RETENU</t>
  </si>
  <si>
    <t xml:space="preserve">  ELU =2 : Part. tendue</t>
  </si>
  <si>
    <t>TrapS(u, v, w, Nb, XB, YB, Na, XA, YA, SA, neq, exg, eyg, typ, fck, gc, ecc12, ecu, kc, nc, eud, fyk, gs, ks, euk, eso, ELU)</t>
  </si>
  <si>
    <t>eb</t>
  </si>
  <si>
    <t>theta°</t>
  </si>
  <si>
    <t>ehm</t>
  </si>
  <si>
    <t>ebm</t>
  </si>
  <si>
    <t>pour info</t>
  </si>
  <si>
    <t>de pi</t>
  </si>
  <si>
    <t>soit en fract.</t>
  </si>
  <si>
    <t xml:space="preserve">La précision est d'autant meilleure </t>
  </si>
  <si>
    <t xml:space="preserve">Pour pouvoir entrer les données normalement, les calculs ne s'effectuent que sur ordre </t>
  </si>
  <si>
    <t>en appuyant sur la touche F9 pour les PC, ou bien en tapant "Pomme + =" sur Macintosh</t>
  </si>
  <si>
    <t>(th-tho) en °</t>
  </si>
  <si>
    <r>
      <t>Si</t>
    </r>
    <r>
      <rPr>
        <sz val="9"/>
        <rFont val="Symbol"/>
        <family val="1"/>
      </rPr>
      <t xml:space="preserve">  a</t>
    </r>
    <r>
      <rPr>
        <vertAlign val="subscript"/>
        <sz val="9"/>
        <rFont val="Arial"/>
        <family val="2"/>
      </rPr>
      <t>cc</t>
    </r>
    <r>
      <rPr>
        <sz val="9"/>
        <rFont val="Arial"/>
        <family val="2"/>
      </rPr>
      <t xml:space="preserve"> &lt; 1  : remplacer 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 par 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 /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cc</t>
    </r>
  </si>
  <si>
    <t>N</t>
  </si>
  <si>
    <t xml:space="preserve">if abs(u) &lt; abs(v) then theta = -ATN(u/v) else theta = ATN(v/u) - Pi/2 </t>
  </si>
  <si>
    <t>u = sin(theta)</t>
  </si>
  <si>
    <t>v = -cos(theta)</t>
  </si>
  <si>
    <t>w = -wo / (uo^2+vo^2)</t>
  </si>
  <si>
    <t>classe d'acier : A = peu ductile ; B = ductile ; C = très ductile ; D = acier à palier</t>
  </si>
  <si>
    <t>dmin</t>
  </si>
  <si>
    <t>euk</t>
  </si>
  <si>
    <t>kc</t>
  </si>
  <si>
    <t>fcm</t>
  </si>
  <si>
    <t>ec1</t>
  </si>
  <si>
    <t>ecu1</t>
  </si>
  <si>
    <t>ec2</t>
  </si>
  <si>
    <t>ecu2</t>
  </si>
  <si>
    <t>eud</t>
  </si>
  <si>
    <t>eso</t>
  </si>
  <si>
    <t>Ecm</t>
  </si>
  <si>
    <t>ks</t>
  </si>
  <si>
    <t>nc</t>
  </si>
  <si>
    <t>ec12</t>
  </si>
  <si>
    <t>ecu</t>
  </si>
  <si>
    <t>.</t>
  </si>
  <si>
    <t>d1</t>
  </si>
  <si>
    <t>d2</t>
  </si>
  <si>
    <t>ecM</t>
  </si>
  <si>
    <t>esM</t>
  </si>
  <si>
    <t>ELS = 1 ; ELU = 2</t>
  </si>
  <si>
    <t>n instant</t>
  </si>
  <si>
    <t>Explications d'utilisation</t>
  </si>
  <si>
    <t>Nombre d'aciers (&lt;= 32)</t>
  </si>
  <si>
    <t>Nombre de sommets du polygône  (&lt;= 32)</t>
  </si>
  <si>
    <t>(selon l'Eurocode 2-1-1)</t>
  </si>
  <si>
    <t>La longueur des calculs est proportionnelle au cube du nombre de pas de calcul</t>
  </si>
  <si>
    <t>puis effectue les calculs à partir de ces nouvelles coordonnées</t>
  </si>
  <si>
    <r>
      <t>Le coefficient d'équivalence n peut être imposé (15 par exemple) ou calculé par E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/E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 xml:space="preserve"> </t>
    </r>
  </si>
  <si>
    <t>Les coordonnées des sommets béton et des aciers sont données par rapport à un repère quelconque au choix</t>
  </si>
  <si>
    <t>Le programme recherche le centre de gravité de la section nette (béton + n * aciers) et les axes principaux d'inertie</t>
  </si>
  <si>
    <r>
      <t>Dans le cas où l'effort normal  est nul, on introduira les deux moments M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et M</t>
    </r>
    <r>
      <rPr>
        <vertAlign val="subscript"/>
        <sz val="9"/>
        <rFont val="Arial"/>
        <family val="2"/>
      </rPr>
      <t>y</t>
    </r>
  </si>
  <si>
    <t>=Pdifo(Feuil1!Q20; Feuil1!AA13;Feuil1!AA14; BXK; BYK; Nb; Na; AXK; AYK; AA; neq; exg; eyg; P; Np)</t>
  </si>
  <si>
    <t>Pnono</t>
  </si>
  <si>
    <t>h</t>
  </si>
  <si>
    <t>p</t>
  </si>
  <si>
    <t>cas 1 et 2</t>
  </si>
  <si>
    <t>cas 3</t>
  </si>
  <si>
    <t>=</t>
  </si>
  <si>
    <t>geom=</t>
  </si>
  <si>
    <t>degré</t>
  </si>
  <si>
    <t>absc. CdG</t>
  </si>
  <si>
    <r>
      <t>f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ELS</t>
    </r>
  </si>
  <si>
    <t>d max</t>
  </si>
  <si>
    <t>Les données sont à écrire dans les cases vertes entourées en gras</t>
  </si>
  <si>
    <t>Programme de calcul de section quelconque de béton armé en flexion déviée</t>
  </si>
  <si>
    <t>MN</t>
  </si>
  <si>
    <t>dxo</t>
  </si>
  <si>
    <t>dyo</t>
  </si>
  <si>
    <t>dexG</t>
  </si>
  <si>
    <t>deyG</t>
  </si>
  <si>
    <t>GF</t>
  </si>
  <si>
    <t>avec sint et cost</t>
  </si>
  <si>
    <t>Dessin de l'axe neutre AN</t>
  </si>
  <si>
    <t>Dtheta</t>
  </si>
  <si>
    <t>dbase</t>
  </si>
  <si>
    <t>Dd</t>
  </si>
  <si>
    <t>uo</t>
  </si>
  <si>
    <t>vo</t>
  </si>
  <si>
    <t>wo</t>
  </si>
  <si>
    <t>ampli</t>
  </si>
  <si>
    <t>Ddbase</t>
  </si>
  <si>
    <t>fois</t>
  </si>
  <si>
    <t>exo</t>
  </si>
  <si>
    <t>eyo</t>
  </si>
  <si>
    <t>(la section est définie par les coordonnées de ses sommets)</t>
  </si>
  <si>
    <t>a</t>
  </si>
  <si>
    <t>b</t>
  </si>
  <si>
    <t>d</t>
  </si>
  <si>
    <t>entièrement tendue</t>
  </si>
  <si>
    <t>partiellement tendue</t>
  </si>
  <si>
    <t>entièrement comprimée</t>
  </si>
  <si>
    <t>contr.</t>
  </si>
  <si>
    <t>maxi</t>
  </si>
  <si>
    <t>mini</t>
  </si>
  <si>
    <t>theta + à - 0,4 radian</t>
  </si>
  <si>
    <t>Mx</t>
  </si>
  <si>
    <t>My</t>
  </si>
  <si>
    <t>MNm</t>
  </si>
  <si>
    <t>moment/axe principal GX</t>
  </si>
  <si>
    <t>moment/axe principal GY</t>
  </si>
  <si>
    <t>min</t>
  </si>
  <si>
    <t>béton</t>
  </si>
  <si>
    <t>acier</t>
  </si>
  <si>
    <t>u</t>
  </si>
  <si>
    <t>v</t>
  </si>
  <si>
    <t>w</t>
  </si>
  <si>
    <t>de</t>
  </si>
  <si>
    <t>Coord. des sommets béton</t>
  </si>
  <si>
    <t xml:space="preserve">     Coordonnées et Ø des aciers</t>
  </si>
  <si>
    <t>/CdG</t>
  </si>
  <si>
    <t>données</t>
  </si>
  <si>
    <t>Aire béton =</t>
  </si>
  <si>
    <t>section nette homogène</t>
  </si>
  <si>
    <t xml:space="preserve">    axe neutre ANo</t>
  </si>
  <si>
    <t>si y = 0 :  x =</t>
  </si>
  <si>
    <t>si x = 0 : y =</t>
  </si>
  <si>
    <t>x1</t>
  </si>
  <si>
    <t>y1</t>
  </si>
  <si>
    <t>x2</t>
  </si>
  <si>
    <t>y2</t>
  </si>
  <si>
    <t>ANo</t>
  </si>
  <si>
    <t>x</t>
  </si>
  <si>
    <t>y</t>
  </si>
  <si>
    <t>m</t>
  </si>
  <si>
    <t>mm</t>
  </si>
  <si>
    <r>
      <t>N</t>
    </r>
    <r>
      <rPr>
        <vertAlign val="subscript"/>
        <sz val="9"/>
        <rFont val="Arial"/>
        <family val="2"/>
      </rPr>
      <t>p</t>
    </r>
  </si>
  <si>
    <r>
      <t>N</t>
    </r>
    <r>
      <rPr>
        <vertAlign val="subscript"/>
        <sz val="9"/>
        <rFont val="Arial"/>
        <family val="2"/>
      </rPr>
      <t>b</t>
    </r>
  </si>
  <si>
    <r>
      <t>N</t>
    </r>
    <r>
      <rPr>
        <vertAlign val="subscript"/>
        <sz val="9"/>
        <rFont val="Arial"/>
        <family val="2"/>
      </rPr>
      <t>a</t>
    </r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</si>
  <si>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</si>
  <si>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</si>
  <si>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e</t>
    </r>
    <r>
      <rPr>
        <vertAlign val="subscript"/>
        <sz val="9"/>
        <rFont val="Arial"/>
        <family val="2"/>
      </rPr>
      <t>x</t>
    </r>
  </si>
  <si>
    <r>
      <t>e</t>
    </r>
    <r>
      <rPr>
        <vertAlign val="subscript"/>
        <sz val="9"/>
        <rFont val="Arial"/>
        <family val="2"/>
      </rPr>
      <t>y</t>
    </r>
  </si>
  <si>
    <r>
      <t>M</t>
    </r>
    <r>
      <rPr>
        <vertAlign val="subscript"/>
        <sz val="9"/>
        <rFont val="Arial"/>
        <family val="2"/>
      </rPr>
      <t>x</t>
    </r>
  </si>
  <si>
    <r>
      <t>M</t>
    </r>
    <r>
      <rPr>
        <vertAlign val="subscript"/>
        <sz val="9"/>
        <rFont val="Arial"/>
        <family val="2"/>
      </rPr>
      <t>y</t>
    </r>
  </si>
  <si>
    <r>
      <t>x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</si>
  <si>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</si>
  <si>
    <r>
      <t>m</t>
    </r>
    <r>
      <rPr>
        <vertAlign val="superscript"/>
        <sz val="9"/>
        <rFont val="Arial"/>
        <family val="2"/>
      </rPr>
      <t>2</t>
    </r>
  </si>
  <si>
    <r>
      <t>cm</t>
    </r>
    <r>
      <rPr>
        <vertAlign val="superscript"/>
        <sz val="9"/>
        <rFont val="Arial"/>
        <family val="2"/>
      </rPr>
      <t>2</t>
    </r>
  </si>
  <si>
    <t>Aire aciers =</t>
  </si>
  <si>
    <r>
      <t>s</t>
    </r>
    <r>
      <rPr>
        <vertAlign val="subscript"/>
        <sz val="9"/>
        <rFont val="Arial"/>
        <family val="2"/>
      </rPr>
      <t>c</t>
    </r>
  </si>
  <si>
    <r>
      <t>s</t>
    </r>
    <r>
      <rPr>
        <vertAlign val="subscript"/>
        <sz val="9"/>
        <rFont val="Arial"/>
        <family val="2"/>
      </rPr>
      <t>s</t>
    </r>
  </si>
  <si>
    <t>Coordonnées du CdG/ancien repère</t>
  </si>
  <si>
    <t>°</t>
  </si>
  <si>
    <t>gm</t>
  </si>
  <si>
    <t>theta</t>
  </si>
  <si>
    <t>ex</t>
  </si>
  <si>
    <t>ey</t>
  </si>
  <si>
    <t>d acier</t>
  </si>
  <si>
    <t>d haut</t>
  </si>
  <si>
    <t>d bas</t>
  </si>
  <si>
    <t>D</t>
  </si>
  <si>
    <t xml:space="preserve">  ELU = 2 : Ent. Compr.</t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</si>
  <si>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</si>
  <si>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</si>
  <si>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t>Contraintes en MPa</t>
  </si>
  <si>
    <r>
      <t xml:space="preserve">      Pour un calcul en</t>
    </r>
    <r>
      <rPr>
        <b/>
        <sz val="9"/>
        <rFont val="Arial"/>
        <family val="2"/>
      </rPr>
      <t xml:space="preserve"> ELS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(si ELS/ELU = 1)</t>
    </r>
  </si>
  <si>
    <r>
      <t xml:space="preserve">     Pour un calcul en </t>
    </r>
    <r>
      <rPr>
        <b/>
        <sz val="9"/>
        <rFont val="Arial"/>
        <family val="2"/>
      </rPr>
      <t xml:space="preserve">ELU </t>
    </r>
    <r>
      <rPr>
        <sz val="8"/>
        <rFont val="Arial"/>
        <family val="2"/>
      </rPr>
      <t>(si ELS/ELU = 2)</t>
    </r>
  </si>
  <si>
    <r>
      <t>Données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(voir mode d'emploi en onglet de feuille en bas d'écran) Touche F9 pour exécuter</t>
    </r>
  </si>
  <si>
    <t>De</t>
  </si>
  <si>
    <t>Précision des calculs</t>
  </si>
  <si>
    <t>que cette valeur est voisine de 0</t>
  </si>
  <si>
    <t>Contraintes Béton</t>
  </si>
  <si>
    <t>preci</t>
  </si>
  <si>
    <t>selon  Annexe C de l'EC2-1-1</t>
  </si>
  <si>
    <r>
      <t>f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contrainte limite de compression du béton en ELS</t>
    </r>
  </si>
  <si>
    <r>
      <t>f</t>
    </r>
    <r>
      <rPr>
        <vertAlign val="subscript"/>
        <sz val="9"/>
        <rFont val="Arial"/>
        <family val="2"/>
      </rPr>
      <t>sd</t>
    </r>
    <r>
      <rPr>
        <sz val="9"/>
        <rFont val="Arial"/>
        <family val="2"/>
      </rPr>
      <t xml:space="preserve"> contrainte limite de traction de l'acier en ELS</t>
    </r>
  </si>
  <si>
    <r>
      <t>f</t>
    </r>
    <r>
      <rPr>
        <vertAlign val="subscript"/>
        <sz val="9"/>
        <rFont val="Arial"/>
        <family val="2"/>
      </rPr>
      <t>sd</t>
    </r>
    <r>
      <rPr>
        <sz val="9"/>
        <rFont val="Arial"/>
        <family val="2"/>
      </rPr>
      <t xml:space="preserve"> ELS</t>
    </r>
  </si>
  <si>
    <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(= 1,5 en général)</t>
    </r>
  </si>
  <si>
    <r>
      <t>g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(= 1,15 en général)</t>
    </r>
  </si>
  <si>
    <t>coefficient sur le matériau béton</t>
  </si>
  <si>
    <t>coefficient sur le matériau acier</t>
  </si>
  <si>
    <r>
      <t>a</t>
    </r>
    <r>
      <rPr>
        <vertAlign val="subscript"/>
        <sz val="9"/>
        <rFont val="Arial"/>
        <family val="2"/>
      </rPr>
      <t>e</t>
    </r>
  </si>
  <si>
    <t>L'auteur n'est pas</t>
  </si>
  <si>
    <t>responsable de</t>
  </si>
  <si>
    <t>l'utilisation faite</t>
  </si>
  <si>
    <t>de ce programme</t>
  </si>
  <si>
    <t>A</t>
  </si>
  <si>
    <t>B</t>
  </si>
  <si>
    <t>C</t>
  </si>
  <si>
    <t>Tableau des caractéristiques des bétons selon EC2</t>
  </si>
  <si>
    <t>fck</t>
  </si>
  <si>
    <t>fctm</t>
  </si>
  <si>
    <t>n</t>
  </si>
  <si>
    <r>
      <t>v</t>
    </r>
    <r>
      <rPr>
        <vertAlign val="subscript"/>
        <sz val="9"/>
        <color indexed="9"/>
        <rFont val="Arial"/>
        <family val="2"/>
      </rPr>
      <t>o</t>
    </r>
    <r>
      <rPr>
        <sz val="9"/>
        <color indexed="9"/>
        <rFont val="Arial"/>
        <family val="2"/>
      </rPr>
      <t xml:space="preserve"> = M</t>
    </r>
    <r>
      <rPr>
        <vertAlign val="subscript"/>
        <sz val="9"/>
        <color indexed="9"/>
        <rFont val="Arial"/>
        <family val="2"/>
      </rPr>
      <t>x</t>
    </r>
    <r>
      <rPr>
        <sz val="9"/>
        <color indexed="9"/>
        <rFont val="Arial"/>
        <family val="2"/>
      </rPr>
      <t>/I</t>
    </r>
    <r>
      <rPr>
        <vertAlign val="subscript"/>
        <sz val="9"/>
        <color indexed="9"/>
        <rFont val="Arial"/>
        <family val="2"/>
      </rPr>
      <t>x</t>
    </r>
  </si>
  <si>
    <r>
      <t>w</t>
    </r>
    <r>
      <rPr>
        <vertAlign val="subscript"/>
        <sz val="9"/>
        <color indexed="9"/>
        <rFont val="Arial"/>
        <family val="2"/>
      </rPr>
      <t>o</t>
    </r>
    <r>
      <rPr>
        <sz val="9"/>
        <color indexed="9"/>
        <rFont val="Arial"/>
        <family val="2"/>
      </rPr>
      <t xml:space="preserve"> = N/S</t>
    </r>
  </si>
  <si>
    <r>
      <t>u</t>
    </r>
    <r>
      <rPr>
        <vertAlign val="subscript"/>
        <sz val="9"/>
        <color indexed="9"/>
        <rFont val="Arial"/>
        <family val="2"/>
      </rPr>
      <t>o</t>
    </r>
    <r>
      <rPr>
        <sz val="9"/>
        <color indexed="9"/>
        <rFont val="Arial"/>
        <family val="2"/>
      </rPr>
      <t xml:space="preserve"> = M</t>
    </r>
    <r>
      <rPr>
        <vertAlign val="subscript"/>
        <sz val="9"/>
        <color indexed="9"/>
        <rFont val="Arial"/>
        <family val="2"/>
      </rPr>
      <t>y</t>
    </r>
    <r>
      <rPr>
        <sz val="9"/>
        <color indexed="9"/>
        <rFont val="Arial"/>
        <family val="2"/>
      </rPr>
      <t>/I</t>
    </r>
    <r>
      <rPr>
        <vertAlign val="subscript"/>
        <sz val="9"/>
        <color indexed="9"/>
        <rFont val="Arial"/>
        <family val="2"/>
      </rPr>
      <t>y</t>
    </r>
  </si>
  <si>
    <r>
      <t>2 boucles de d = dy</t>
    </r>
    <r>
      <rPr>
        <vertAlign val="subscript"/>
        <sz val="9"/>
        <color indexed="9"/>
        <rFont val="Arial"/>
        <family val="2"/>
      </rPr>
      <t>1</t>
    </r>
    <r>
      <rPr>
        <sz val="9"/>
        <color indexed="9"/>
        <rFont val="Arial"/>
        <family val="2"/>
      </rPr>
      <t xml:space="preserve"> à dy</t>
    </r>
    <r>
      <rPr>
        <vertAlign val="subscript"/>
        <sz val="9"/>
        <color indexed="9"/>
        <rFont val="Arial"/>
        <family val="2"/>
      </rPr>
      <t>2</t>
    </r>
  </si>
  <si>
    <t>Nombre de pas de calcul (5 à 12)</t>
  </si>
  <si>
    <t>axes principaux</t>
  </si>
  <si>
    <t>x0</t>
  </si>
  <si>
    <t>y0</t>
  </si>
  <si>
    <t>phi (rd)</t>
  </si>
  <si>
    <t>xa</t>
  </si>
  <si>
    <t>ya</t>
  </si>
  <si>
    <t>xb</t>
  </si>
  <si>
    <t>yb</t>
  </si>
  <si>
    <t>uX</t>
  </si>
  <si>
    <t>vX</t>
  </si>
  <si>
    <t>wX</t>
  </si>
  <si>
    <t>uY</t>
  </si>
  <si>
    <t>vY</t>
  </si>
  <si>
    <t>wY</t>
  </si>
  <si>
    <t>axe GX</t>
  </si>
  <si>
    <t>axe GY</t>
  </si>
  <si>
    <t>rectangle sommets</t>
  </si>
  <si>
    <t>axe neutre, section béton &amp; aciers</t>
  </si>
  <si>
    <t>Ancien répère</t>
  </si>
  <si>
    <t>Nouveau repère</t>
  </si>
  <si>
    <t>pente =</t>
  </si>
  <si>
    <t>q</t>
  </si>
  <si>
    <r>
      <t>Moment M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(MNm) si N = 0  ou  Excentricité e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(m) suivant Ox si  N </t>
    </r>
    <r>
      <rPr>
        <sz val="9"/>
        <rFont val="Arial"/>
        <family val="2"/>
      </rPr>
      <t>≠</t>
    </r>
    <r>
      <rPr>
        <sz val="9"/>
        <rFont val="Arial"/>
        <family val="2"/>
      </rPr>
      <t xml:space="preserve"> 0</t>
    </r>
  </si>
  <si>
    <r>
      <t>Moment M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(MNm) si N = 0  ou  Excentricité e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(m) suivant Ox si  N </t>
    </r>
    <r>
      <rPr>
        <sz val="9"/>
        <rFont val="Arial"/>
        <family val="2"/>
      </rPr>
      <t>≠</t>
    </r>
    <r>
      <rPr>
        <sz val="9"/>
        <rFont val="Arial"/>
        <family val="2"/>
      </rPr>
      <t xml:space="preserve"> 0</t>
    </r>
  </si>
  <si>
    <t>= 0  ou 1 :  armatures comprimées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</si>
</sst>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&quot; mm&quot;"/>
    <numFmt numFmtId="200" formatCode="0.00&quot; mm&quot;"/>
    <numFmt numFmtId="201" formatCode="0.000&quot; °&quot;"/>
    <numFmt numFmtId="202" formatCode="&quot;(&quot;##\.#&quot;°)&quot;"/>
    <numFmt numFmtId="203" formatCode="&quot;(&quot;###\.#&quot;°)&quot;"/>
    <numFmt numFmtId="204" formatCode="&quot;(&quot;####\.#&quot;°)&quot;"/>
    <numFmt numFmtId="205" formatCode="0.0&quot;°&quot;"/>
    <numFmt numFmtId="206" formatCode="0.0%"/>
    <numFmt numFmtId="207" formatCode="[$-40C]dddd\ d\ mmmm\ yyyy"/>
  </numFmts>
  <fonts count="7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color indexed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sz val="9"/>
      <name val="Symbol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43"/>
      <name val="Arial"/>
      <family val="2"/>
    </font>
    <font>
      <sz val="9"/>
      <color indexed="9"/>
      <name val="Arial"/>
      <family val="2"/>
    </font>
    <font>
      <sz val="9"/>
      <color indexed="9"/>
      <name val="Helv"/>
      <family val="0"/>
    </font>
    <font>
      <sz val="9"/>
      <color indexed="9"/>
      <name val="Symbol"/>
      <family val="1"/>
    </font>
    <font>
      <b/>
      <sz val="9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8"/>
      <name val="Tahoma"/>
      <family val="2"/>
    </font>
    <font>
      <sz val="9"/>
      <name val="Arial Narrow"/>
      <family val="2"/>
    </font>
    <font>
      <b/>
      <sz val="9"/>
      <color indexed="12"/>
      <name val="Arial"/>
      <family val="2"/>
    </font>
    <font>
      <vertAlign val="subscript"/>
      <sz val="9"/>
      <color indexed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5"/>
      <color indexed="8"/>
      <name val="Helv"/>
      <family val="0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hair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4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6" fillId="36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6" fillId="0" borderId="0" xfId="0" applyFont="1" applyFill="1" applyAlignment="1" quotePrefix="1">
      <alignment horizontal="left"/>
    </xf>
    <xf numFmtId="17" fontId="7" fillId="0" borderId="0" xfId="0" applyNumberFormat="1" applyFont="1" applyAlignment="1" quotePrefix="1">
      <alignment horizontal="center"/>
    </xf>
    <xf numFmtId="0" fontId="7" fillId="34" borderId="15" xfId="0" applyFont="1" applyFill="1" applyBorder="1" applyAlignment="1" applyProtection="1">
      <alignment/>
      <protection locked="0"/>
    </xf>
    <xf numFmtId="0" fontId="7" fillId="34" borderId="2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7" fillId="0" borderId="25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 indent="1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29" xfId="0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/>
      <protection/>
    </xf>
    <xf numFmtId="0" fontId="7" fillId="37" borderId="28" xfId="0" applyFont="1" applyFill="1" applyBorder="1" applyAlignment="1" applyProtection="1">
      <alignment horizontal="left"/>
      <protection/>
    </xf>
    <xf numFmtId="0" fontId="7" fillId="37" borderId="31" xfId="0" applyFont="1" applyFill="1" applyBorder="1" applyAlignment="1" applyProtection="1">
      <alignment horizontal="center"/>
      <protection/>
    </xf>
    <xf numFmtId="0" fontId="7" fillId="37" borderId="29" xfId="0" applyFont="1" applyFill="1" applyBorder="1" applyAlignment="1" applyProtection="1">
      <alignment/>
      <protection/>
    </xf>
    <xf numFmtId="0" fontId="7" fillId="37" borderId="3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7" fillId="37" borderId="22" xfId="0" applyFont="1" applyFill="1" applyBorder="1" applyAlignment="1" applyProtection="1">
      <alignment horizontal="right" indent="1"/>
      <protection/>
    </xf>
    <xf numFmtId="0" fontId="7" fillId="37" borderId="0" xfId="0" applyFont="1" applyFill="1" applyBorder="1" applyAlignment="1" applyProtection="1">
      <alignment/>
      <protection/>
    </xf>
    <xf numFmtId="0" fontId="7" fillId="37" borderId="23" xfId="0" applyFont="1" applyFill="1" applyBorder="1" applyAlignment="1" applyProtection="1">
      <alignment/>
      <protection/>
    </xf>
    <xf numFmtId="0" fontId="14" fillId="37" borderId="22" xfId="0" applyFont="1" applyFill="1" applyBorder="1" applyAlignment="1" applyProtection="1">
      <alignment horizontal="center"/>
      <protection/>
    </xf>
    <xf numFmtId="0" fontId="7" fillId="37" borderId="23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 quotePrefix="1">
      <alignment/>
      <protection/>
    </xf>
    <xf numFmtId="0" fontId="7" fillId="33" borderId="33" xfId="0" applyFont="1" applyFill="1" applyBorder="1" applyAlignment="1" applyProtection="1">
      <alignment/>
      <protection/>
    </xf>
    <xf numFmtId="0" fontId="7" fillId="37" borderId="32" xfId="0" applyFont="1" applyFill="1" applyBorder="1" applyAlignment="1" applyProtection="1">
      <alignment horizontal="right" indent="1"/>
      <protection/>
    </xf>
    <xf numFmtId="0" fontId="7" fillId="37" borderId="24" xfId="0" applyFont="1" applyFill="1" applyBorder="1" applyAlignment="1" applyProtection="1">
      <alignment/>
      <protection/>
    </xf>
    <xf numFmtId="0" fontId="7" fillId="37" borderId="33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left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2" fontId="13" fillId="0" borderId="41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40" xfId="0" applyNumberFormat="1" applyFont="1" applyBorder="1" applyAlignment="1" applyProtection="1">
      <alignment horizontal="center"/>
      <protection/>
    </xf>
    <xf numFmtId="2" fontId="13" fillId="0" borderId="42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2" fontId="7" fillId="0" borderId="43" xfId="0" applyNumberFormat="1" applyFont="1" applyBorder="1" applyAlignment="1" applyProtection="1">
      <alignment horizontal="center"/>
      <protection/>
    </xf>
    <xf numFmtId="2" fontId="13" fillId="0" borderId="18" xfId="0" applyNumberFormat="1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13" fillId="0" borderId="46" xfId="0" applyNumberFormat="1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180" fontId="7" fillId="0" borderId="27" xfId="0" applyNumberFormat="1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2" fontId="7" fillId="0" borderId="27" xfId="0" applyNumberFormat="1" applyFont="1" applyFill="1" applyBorder="1" applyAlignment="1" applyProtection="1">
      <alignment horizontal="center"/>
      <protection/>
    </xf>
    <xf numFmtId="0" fontId="7" fillId="34" borderId="48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 quotePrefix="1">
      <alignment/>
      <protection/>
    </xf>
    <xf numFmtId="0" fontId="17" fillId="0" borderId="0" xfId="0" applyFont="1" applyAlignment="1" applyProtection="1">
      <alignment/>
      <protection/>
    </xf>
    <xf numFmtId="184" fontId="10" fillId="0" borderId="0" xfId="0" applyNumberFormat="1" applyFont="1" applyAlignment="1" applyProtection="1">
      <alignment horizontal="left"/>
      <protection/>
    </xf>
    <xf numFmtId="183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/>
      <protection/>
    </xf>
    <xf numFmtId="0" fontId="7" fillId="0" borderId="37" xfId="0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7" fillId="38" borderId="28" xfId="0" applyFont="1" applyFill="1" applyBorder="1" applyAlignment="1" applyProtection="1">
      <alignment/>
      <protection/>
    </xf>
    <xf numFmtId="0" fontId="7" fillId="38" borderId="30" xfId="0" applyFont="1" applyFill="1" applyBorder="1" applyAlignment="1" applyProtection="1">
      <alignment/>
      <protection/>
    </xf>
    <xf numFmtId="0" fontId="7" fillId="38" borderId="22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right"/>
      <protection/>
    </xf>
    <xf numFmtId="0" fontId="7" fillId="38" borderId="23" xfId="0" applyFont="1" applyFill="1" applyBorder="1" applyAlignment="1" applyProtection="1">
      <alignment/>
      <protection/>
    </xf>
    <xf numFmtId="0" fontId="7" fillId="38" borderId="22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7" fillId="38" borderId="33" xfId="0" applyFont="1" applyFill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left"/>
      <protection/>
    </xf>
    <xf numFmtId="180" fontId="7" fillId="0" borderId="0" xfId="0" applyNumberFormat="1" applyFont="1" applyAlignment="1" applyProtection="1">
      <alignment horizontal="center"/>
      <protection/>
    </xf>
    <xf numFmtId="17" fontId="7" fillId="0" borderId="0" xfId="0" applyNumberFormat="1" applyFont="1" applyAlignment="1" applyProtection="1" quotePrefix="1">
      <alignment horizontal="center"/>
      <protection/>
    </xf>
    <xf numFmtId="0" fontId="19" fillId="38" borderId="0" xfId="0" applyFont="1" applyFill="1" applyBorder="1" applyAlignment="1" applyProtection="1">
      <alignment horizontal="right"/>
      <protection/>
    </xf>
    <xf numFmtId="0" fontId="19" fillId="38" borderId="0" xfId="0" applyFont="1" applyFill="1" applyBorder="1" applyAlignment="1" applyProtection="1">
      <alignment/>
      <protection/>
    </xf>
    <xf numFmtId="0" fontId="19" fillId="38" borderId="0" xfId="0" applyFont="1" applyFill="1" applyBorder="1" applyAlignment="1" applyProtection="1">
      <alignment horizontal="left"/>
      <protection/>
    </xf>
    <xf numFmtId="0" fontId="21" fillId="38" borderId="22" xfId="0" applyFont="1" applyFill="1" applyBorder="1" applyAlignment="1" applyProtection="1">
      <alignment horizontal="center"/>
      <protection/>
    </xf>
    <xf numFmtId="0" fontId="19" fillId="38" borderId="0" xfId="0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 horizontal="center"/>
      <protection/>
    </xf>
    <xf numFmtId="0" fontId="19" fillId="38" borderId="30" xfId="0" applyFont="1" applyFill="1" applyBorder="1" applyAlignment="1" applyProtection="1">
      <alignment horizontal="center"/>
      <protection/>
    </xf>
    <xf numFmtId="17" fontId="19" fillId="38" borderId="0" xfId="0" applyNumberFormat="1" applyFont="1" applyFill="1" applyBorder="1" applyAlignment="1" applyProtection="1" quotePrefix="1">
      <alignment horizontal="right"/>
      <protection/>
    </xf>
    <xf numFmtId="0" fontId="20" fillId="38" borderId="0" xfId="0" applyFont="1" applyFill="1" applyBorder="1" applyAlignment="1" applyProtection="1">
      <alignment/>
      <protection/>
    </xf>
    <xf numFmtId="0" fontId="19" fillId="38" borderId="22" xfId="0" applyFont="1" applyFill="1" applyBorder="1" applyAlignment="1" applyProtection="1" quotePrefix="1">
      <alignment horizontal="center"/>
      <protection/>
    </xf>
    <xf numFmtId="0" fontId="19" fillId="38" borderId="23" xfId="0" applyFont="1" applyFill="1" applyBorder="1" applyAlignment="1" applyProtection="1">
      <alignment horizontal="center"/>
      <protection/>
    </xf>
    <xf numFmtId="185" fontId="19" fillId="38" borderId="32" xfId="0" applyNumberFormat="1" applyFont="1" applyFill="1" applyBorder="1" applyAlignment="1" applyProtection="1">
      <alignment horizontal="center"/>
      <protection/>
    </xf>
    <xf numFmtId="206" fontId="19" fillId="38" borderId="33" xfId="52" applyNumberFormat="1" applyFont="1" applyFill="1" applyBorder="1" applyAlignment="1" applyProtection="1">
      <alignment horizontal="center"/>
      <protection/>
    </xf>
    <xf numFmtId="22" fontId="19" fillId="38" borderId="0" xfId="0" applyNumberFormat="1" applyFont="1" applyFill="1" applyBorder="1" applyAlignment="1" applyProtection="1">
      <alignment horizontal="center"/>
      <protection/>
    </xf>
    <xf numFmtId="0" fontId="22" fillId="38" borderId="34" xfId="0" applyFont="1" applyFill="1" applyBorder="1" applyAlignment="1" applyProtection="1">
      <alignment/>
      <protection/>
    </xf>
    <xf numFmtId="0" fontId="22" fillId="38" borderId="25" xfId="0" applyFont="1" applyFill="1" applyBorder="1" applyAlignment="1" applyProtection="1">
      <alignment/>
      <protection/>
    </xf>
    <xf numFmtId="0" fontId="22" fillId="38" borderId="33" xfId="0" applyFont="1" applyFill="1" applyBorder="1" applyAlignment="1" applyProtection="1">
      <alignment/>
      <protection/>
    </xf>
    <xf numFmtId="0" fontId="22" fillId="38" borderId="32" xfId="0" applyFont="1" applyFill="1" applyBorder="1" applyAlignment="1" applyProtection="1">
      <alignment/>
      <protection/>
    </xf>
    <xf numFmtId="0" fontId="19" fillId="38" borderId="36" xfId="0" applyFont="1" applyFill="1" applyBorder="1" applyAlignment="1" applyProtection="1">
      <alignment horizontal="center"/>
      <protection/>
    </xf>
    <xf numFmtId="0" fontId="19" fillId="38" borderId="34" xfId="0" applyFont="1" applyFill="1" applyBorder="1" applyAlignment="1" applyProtection="1">
      <alignment/>
      <protection/>
    </xf>
    <xf numFmtId="0" fontId="19" fillId="38" borderId="25" xfId="0" applyFont="1" applyFill="1" applyBorder="1" applyAlignment="1" applyProtection="1">
      <alignment/>
      <protection/>
    </xf>
    <xf numFmtId="0" fontId="19" fillId="38" borderId="22" xfId="0" applyFont="1" applyFill="1" applyBorder="1" applyAlignment="1" applyProtection="1">
      <alignment/>
      <protection/>
    </xf>
    <xf numFmtId="0" fontId="19" fillId="38" borderId="35" xfId="0" applyFont="1" applyFill="1" applyBorder="1" applyAlignment="1" applyProtection="1">
      <alignment horizontal="center"/>
      <protection/>
    </xf>
    <xf numFmtId="0" fontId="19" fillId="38" borderId="22" xfId="0" applyFont="1" applyFill="1" applyBorder="1" applyAlignment="1" applyProtection="1">
      <alignment horizontal="center"/>
      <protection/>
    </xf>
    <xf numFmtId="0" fontId="19" fillId="38" borderId="26" xfId="0" applyFont="1" applyFill="1" applyBorder="1" applyAlignment="1" applyProtection="1">
      <alignment horizontal="center"/>
      <protection/>
    </xf>
    <xf numFmtId="0" fontId="19" fillId="38" borderId="30" xfId="0" applyFont="1" applyFill="1" applyBorder="1" applyAlignment="1" applyProtection="1">
      <alignment/>
      <protection/>
    </xf>
    <xf numFmtId="0" fontId="19" fillId="38" borderId="26" xfId="0" applyNumberFormat="1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/>
      <protection/>
    </xf>
    <xf numFmtId="0" fontId="19" fillId="38" borderId="29" xfId="0" applyFont="1" applyFill="1" applyBorder="1" applyAlignment="1" applyProtection="1">
      <alignment/>
      <protection/>
    </xf>
    <xf numFmtId="0" fontId="19" fillId="38" borderId="0" xfId="0" applyFont="1" applyFill="1" applyBorder="1" applyAlignment="1" applyProtection="1" quotePrefix="1">
      <alignment/>
      <protection/>
    </xf>
    <xf numFmtId="0" fontId="19" fillId="38" borderId="23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/>
      <protection/>
    </xf>
    <xf numFmtId="0" fontId="19" fillId="38" borderId="24" xfId="0" applyFont="1" applyFill="1" applyBorder="1" applyAlignment="1" applyProtection="1">
      <alignment/>
      <protection/>
    </xf>
    <xf numFmtId="0" fontId="19" fillId="38" borderId="33" xfId="0" applyFont="1" applyFill="1" applyBorder="1" applyAlignment="1" applyProtection="1">
      <alignment/>
      <protection/>
    </xf>
    <xf numFmtId="0" fontId="19" fillId="38" borderId="32" xfId="0" applyFont="1" applyFill="1" applyBorder="1" applyAlignment="1" applyProtection="1">
      <alignment horizontal="center"/>
      <protection/>
    </xf>
    <xf numFmtId="0" fontId="19" fillId="38" borderId="27" xfId="0" applyFont="1" applyFill="1" applyBorder="1" applyAlignment="1" applyProtection="1">
      <alignment horizontal="center"/>
      <protection/>
    </xf>
    <xf numFmtId="0" fontId="19" fillId="38" borderId="33" xfId="0" applyFont="1" applyFill="1" applyBorder="1" applyAlignment="1" applyProtection="1">
      <alignment horizontal="center"/>
      <protection/>
    </xf>
    <xf numFmtId="185" fontId="19" fillId="38" borderId="0" xfId="0" applyNumberFormat="1" applyFont="1" applyFill="1" applyBorder="1" applyAlignment="1" applyProtection="1">
      <alignment horizontal="center"/>
      <protection/>
    </xf>
    <xf numFmtId="185" fontId="19" fillId="38" borderId="0" xfId="0" applyNumberFormat="1" applyFont="1" applyFill="1" applyBorder="1" applyAlignment="1" applyProtection="1">
      <alignment/>
      <protection/>
    </xf>
    <xf numFmtId="0" fontId="19" fillId="38" borderId="34" xfId="0" applyFont="1" applyFill="1" applyBorder="1" applyAlignment="1" applyProtection="1">
      <alignment horizontal="left"/>
      <protection/>
    </xf>
    <xf numFmtId="0" fontId="19" fillId="38" borderId="25" xfId="0" applyFont="1" applyFill="1" applyBorder="1" applyAlignment="1" applyProtection="1">
      <alignment horizontal="center"/>
      <protection/>
    </xf>
    <xf numFmtId="0" fontId="19" fillId="38" borderId="24" xfId="0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left"/>
      <protection/>
    </xf>
    <xf numFmtId="0" fontId="19" fillId="38" borderId="34" xfId="0" applyFont="1" applyFill="1" applyBorder="1" applyAlignment="1" applyProtection="1">
      <alignment horizontal="center"/>
      <protection/>
    </xf>
    <xf numFmtId="2" fontId="19" fillId="38" borderId="35" xfId="0" applyNumberFormat="1" applyFont="1" applyFill="1" applyBorder="1" applyAlignment="1" applyProtection="1">
      <alignment horizontal="center"/>
      <protection/>
    </xf>
    <xf numFmtId="2" fontId="19" fillId="38" borderId="0" xfId="0" applyNumberFormat="1" applyFont="1" applyFill="1" applyBorder="1" applyAlignment="1" applyProtection="1">
      <alignment horizontal="center"/>
      <protection/>
    </xf>
    <xf numFmtId="2" fontId="19" fillId="38" borderId="26" xfId="0" applyNumberFormat="1" applyFont="1" applyFill="1" applyBorder="1" applyAlignment="1" applyProtection="1" quotePrefix="1">
      <alignment horizontal="center"/>
      <protection/>
    </xf>
    <xf numFmtId="2" fontId="19" fillId="38" borderId="26" xfId="0" applyNumberFormat="1" applyFont="1" applyFill="1" applyBorder="1" applyAlignment="1" applyProtection="1">
      <alignment horizontal="center"/>
      <protection/>
    </xf>
    <xf numFmtId="2" fontId="19" fillId="38" borderId="35" xfId="0" applyNumberFormat="1" applyFont="1" applyFill="1" applyBorder="1" applyAlignment="1" applyProtection="1" quotePrefix="1">
      <alignment horizontal="center"/>
      <protection/>
    </xf>
    <xf numFmtId="0" fontId="22" fillId="38" borderId="37" xfId="0" applyFont="1" applyFill="1" applyBorder="1" applyAlignment="1" applyProtection="1">
      <alignment horizontal="left"/>
      <protection/>
    </xf>
    <xf numFmtId="0" fontId="19" fillId="38" borderId="37" xfId="0" applyFont="1" applyFill="1" applyBorder="1" applyAlignment="1" applyProtection="1">
      <alignment horizontal="center"/>
      <protection/>
    </xf>
    <xf numFmtId="0" fontId="19" fillId="38" borderId="49" xfId="0" applyFont="1" applyFill="1" applyBorder="1" applyAlignment="1" applyProtection="1">
      <alignment horizontal="center"/>
      <protection/>
    </xf>
    <xf numFmtId="0" fontId="19" fillId="38" borderId="38" xfId="0" applyFont="1" applyFill="1" applyBorder="1" applyAlignment="1" applyProtection="1">
      <alignment horizontal="center"/>
      <protection/>
    </xf>
    <xf numFmtId="0" fontId="19" fillId="38" borderId="50" xfId="0" applyFont="1" applyFill="1" applyBorder="1" applyAlignment="1" applyProtection="1">
      <alignment horizontal="center"/>
      <protection/>
    </xf>
    <xf numFmtId="0" fontId="19" fillId="38" borderId="14" xfId="0" applyFont="1" applyFill="1" applyBorder="1" applyAlignment="1" applyProtection="1">
      <alignment horizontal="center"/>
      <protection/>
    </xf>
    <xf numFmtId="0" fontId="19" fillId="38" borderId="51" xfId="0" applyFont="1" applyFill="1" applyBorder="1" applyAlignment="1" applyProtection="1">
      <alignment horizontal="center"/>
      <protection/>
    </xf>
    <xf numFmtId="0" fontId="19" fillId="38" borderId="16" xfId="0" applyFont="1" applyFill="1" applyBorder="1" applyAlignment="1" applyProtection="1">
      <alignment horizontal="center"/>
      <protection/>
    </xf>
    <xf numFmtId="0" fontId="22" fillId="38" borderId="37" xfId="0" applyFont="1" applyFill="1" applyBorder="1" applyAlignment="1" applyProtection="1">
      <alignment/>
      <protection/>
    </xf>
    <xf numFmtId="0" fontId="19" fillId="38" borderId="37" xfId="0" applyFont="1" applyFill="1" applyBorder="1" applyAlignment="1" applyProtection="1">
      <alignment/>
      <protection/>
    </xf>
    <xf numFmtId="2" fontId="19" fillId="38" borderId="0" xfId="0" applyNumberFormat="1" applyFont="1" applyFill="1" applyBorder="1" applyAlignment="1" applyProtection="1">
      <alignment horizontal="left"/>
      <protection/>
    </xf>
    <xf numFmtId="0" fontId="19" fillId="38" borderId="49" xfId="0" applyFont="1" applyFill="1" applyBorder="1" applyAlignment="1" applyProtection="1">
      <alignment horizontal="left"/>
      <protection/>
    </xf>
    <xf numFmtId="0" fontId="19" fillId="38" borderId="38" xfId="0" applyFont="1" applyFill="1" applyBorder="1" applyAlignment="1" applyProtection="1">
      <alignment horizontal="left"/>
      <protection/>
    </xf>
    <xf numFmtId="0" fontId="20" fillId="38" borderId="0" xfId="0" applyFont="1" applyFill="1" applyBorder="1" applyAlignment="1" applyProtection="1">
      <alignment horizontal="left"/>
      <protection/>
    </xf>
    <xf numFmtId="2" fontId="19" fillId="38" borderId="27" xfId="0" applyNumberFormat="1" applyFont="1" applyFill="1" applyBorder="1" applyAlignment="1" applyProtection="1">
      <alignment horizontal="left"/>
      <protection/>
    </xf>
    <xf numFmtId="2" fontId="19" fillId="38" borderId="24" xfId="0" applyNumberFormat="1" applyFont="1" applyFill="1" applyBorder="1" applyAlignment="1" applyProtection="1">
      <alignment horizontal="left"/>
      <protection/>
    </xf>
    <xf numFmtId="2" fontId="19" fillId="38" borderId="27" xfId="0" applyNumberFormat="1" applyFont="1" applyFill="1" applyBorder="1" applyAlignment="1" applyProtection="1" quotePrefix="1">
      <alignment horizontal="left"/>
      <protection/>
    </xf>
    <xf numFmtId="0" fontId="19" fillId="38" borderId="17" xfId="0" applyFont="1" applyFill="1" applyBorder="1" applyAlignment="1" applyProtection="1">
      <alignment horizontal="center"/>
      <protection/>
    </xf>
    <xf numFmtId="2" fontId="19" fillId="38" borderId="28" xfId="0" applyNumberFormat="1" applyFont="1" applyFill="1" applyBorder="1" applyAlignment="1" applyProtection="1">
      <alignment horizontal="center"/>
      <protection/>
    </xf>
    <xf numFmtId="2" fontId="19" fillId="38" borderId="30" xfId="0" applyNumberFormat="1" applyFont="1" applyFill="1" applyBorder="1" applyAlignment="1" applyProtection="1">
      <alignment horizontal="center"/>
      <protection/>
    </xf>
    <xf numFmtId="2" fontId="19" fillId="38" borderId="29" xfId="0" applyNumberFormat="1" applyFont="1" applyFill="1" applyBorder="1" applyAlignment="1" applyProtection="1">
      <alignment horizontal="center"/>
      <protection/>
    </xf>
    <xf numFmtId="0" fontId="19" fillId="38" borderId="18" xfId="0" applyFont="1" applyFill="1" applyBorder="1" applyAlignment="1" applyProtection="1">
      <alignment horizontal="center"/>
      <protection/>
    </xf>
    <xf numFmtId="2" fontId="19" fillId="38" borderId="32" xfId="0" applyNumberFormat="1" applyFont="1" applyFill="1" applyBorder="1" applyAlignment="1" applyProtection="1">
      <alignment horizontal="center"/>
      <protection/>
    </xf>
    <xf numFmtId="2" fontId="19" fillId="38" borderId="33" xfId="0" applyNumberFormat="1" applyFont="1" applyFill="1" applyBorder="1" applyAlignment="1" applyProtection="1">
      <alignment horizontal="center"/>
      <protection/>
    </xf>
    <xf numFmtId="2" fontId="19" fillId="38" borderId="24" xfId="0" applyNumberFormat="1" applyFont="1" applyFill="1" applyBorder="1" applyAlignment="1" applyProtection="1">
      <alignment horizontal="center"/>
      <protection/>
    </xf>
    <xf numFmtId="0" fontId="19" fillId="38" borderId="0" xfId="0" applyFont="1" applyFill="1" applyBorder="1" applyAlignment="1" applyProtection="1" quotePrefix="1">
      <alignment horizontal="center"/>
      <protection/>
    </xf>
    <xf numFmtId="0" fontId="22" fillId="38" borderId="37" xfId="0" applyFont="1" applyFill="1" applyBorder="1" applyAlignment="1" applyProtection="1">
      <alignment horizontal="right"/>
      <protection/>
    </xf>
    <xf numFmtId="0" fontId="22" fillId="38" borderId="29" xfId="0" applyFont="1" applyFill="1" applyBorder="1" applyAlignment="1" applyProtection="1">
      <alignment horizontal="right"/>
      <protection/>
    </xf>
    <xf numFmtId="0" fontId="22" fillId="38" borderId="29" xfId="0" applyFont="1" applyFill="1" applyBorder="1" applyAlignment="1" applyProtection="1">
      <alignment horizontal="left"/>
      <protection/>
    </xf>
    <xf numFmtId="0" fontId="19" fillId="38" borderId="24" xfId="0" applyFont="1" applyFill="1" applyBorder="1" applyAlignment="1" applyProtection="1">
      <alignment horizontal="right"/>
      <protection/>
    </xf>
    <xf numFmtId="0" fontId="14" fillId="38" borderId="22" xfId="0" applyFont="1" applyFill="1" applyBorder="1" applyAlignment="1" applyProtection="1">
      <alignment horizontal="center"/>
      <protection/>
    </xf>
    <xf numFmtId="0" fontId="7" fillId="38" borderId="52" xfId="0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7" fillId="38" borderId="34" xfId="0" applyFont="1" applyFill="1" applyBorder="1" applyAlignment="1" applyProtection="1">
      <alignment/>
      <protection/>
    </xf>
    <xf numFmtId="0" fontId="7" fillId="38" borderId="25" xfId="0" applyFont="1" applyFill="1" applyBorder="1" applyAlignment="1" applyProtection="1">
      <alignment/>
      <protection/>
    </xf>
    <xf numFmtId="0" fontId="7" fillId="38" borderId="36" xfId="0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/>
      <protection/>
    </xf>
    <xf numFmtId="0" fontId="8" fillId="38" borderId="28" xfId="0" applyFont="1" applyFill="1" applyBorder="1" applyAlignment="1" applyProtection="1">
      <alignment/>
      <protection/>
    </xf>
    <xf numFmtId="0" fontId="8" fillId="38" borderId="35" xfId="0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 quotePrefix="1">
      <alignment horizontal="left"/>
      <protection/>
    </xf>
    <xf numFmtId="0" fontId="8" fillId="38" borderId="36" xfId="0" applyFont="1" applyFill="1" applyBorder="1" applyAlignment="1" applyProtection="1">
      <alignment horizontal="center"/>
      <protection/>
    </xf>
    <xf numFmtId="0" fontId="8" fillId="38" borderId="33" xfId="0" applyFont="1" applyFill="1" applyBorder="1" applyAlignment="1" applyProtection="1">
      <alignment horizontal="center"/>
      <protection/>
    </xf>
    <xf numFmtId="180" fontId="7" fillId="38" borderId="35" xfId="0" applyNumberFormat="1" applyFont="1" applyFill="1" applyBorder="1" applyAlignment="1" applyProtection="1" quotePrefix="1">
      <alignment horizontal="center"/>
      <protection/>
    </xf>
    <xf numFmtId="180" fontId="7" fillId="38" borderId="30" xfId="0" applyNumberFormat="1" applyFont="1" applyFill="1" applyBorder="1" applyAlignment="1" applyProtection="1" quotePrefix="1">
      <alignment horizontal="center"/>
      <protection/>
    </xf>
    <xf numFmtId="0" fontId="7" fillId="38" borderId="0" xfId="0" applyFont="1" applyFill="1" applyBorder="1" applyAlignment="1" applyProtection="1">
      <alignment horizontal="left"/>
      <protection/>
    </xf>
    <xf numFmtId="180" fontId="7" fillId="38" borderId="26" xfId="0" applyNumberFormat="1" applyFont="1" applyFill="1" applyBorder="1" applyAlignment="1" applyProtection="1" quotePrefix="1">
      <alignment horizontal="center"/>
      <protection/>
    </xf>
    <xf numFmtId="180" fontId="7" fillId="38" borderId="23" xfId="0" applyNumberFormat="1" applyFont="1" applyFill="1" applyBorder="1" applyAlignment="1" applyProtection="1" quotePrefix="1">
      <alignment horizontal="center"/>
      <protection/>
    </xf>
    <xf numFmtId="0" fontId="7" fillId="38" borderId="22" xfId="0" applyFont="1" applyFill="1" applyBorder="1" applyAlignment="1" applyProtection="1">
      <alignment horizontal="center"/>
      <protection/>
    </xf>
    <xf numFmtId="180" fontId="7" fillId="38" borderId="26" xfId="0" applyNumberFormat="1" applyFont="1" applyFill="1" applyBorder="1" applyAlignment="1" applyProtection="1">
      <alignment horizontal="center"/>
      <protection/>
    </xf>
    <xf numFmtId="180" fontId="7" fillId="38" borderId="23" xfId="0" applyNumberFormat="1" applyFont="1" applyFill="1" applyBorder="1" applyAlignment="1" applyProtection="1">
      <alignment horizontal="center"/>
      <protection/>
    </xf>
    <xf numFmtId="0" fontId="7" fillId="38" borderId="26" xfId="0" applyFont="1" applyFill="1" applyBorder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7" fillId="38" borderId="32" xfId="0" applyFont="1" applyFill="1" applyBorder="1" applyAlignment="1" applyProtection="1">
      <alignment horizontal="center"/>
      <protection/>
    </xf>
    <xf numFmtId="0" fontId="14" fillId="38" borderId="0" xfId="0" applyFont="1" applyFill="1" applyBorder="1" applyAlignment="1" applyProtection="1">
      <alignment horizontal="center"/>
      <protection/>
    </xf>
    <xf numFmtId="0" fontId="7" fillId="38" borderId="26" xfId="0" applyFont="1" applyFill="1" applyBorder="1" applyAlignment="1" applyProtection="1">
      <alignment/>
      <protection/>
    </xf>
    <xf numFmtId="2" fontId="7" fillId="38" borderId="23" xfId="0" applyNumberFormat="1" applyFont="1" applyFill="1" applyBorder="1" applyAlignment="1" applyProtection="1">
      <alignment horizontal="center"/>
      <protection/>
    </xf>
    <xf numFmtId="205" fontId="7" fillId="38" borderId="0" xfId="0" applyNumberFormat="1" applyFont="1" applyFill="1" applyBorder="1" applyAlignment="1" applyProtection="1">
      <alignment/>
      <protection/>
    </xf>
    <xf numFmtId="0" fontId="7" fillId="38" borderId="28" xfId="0" applyFont="1" applyFill="1" applyBorder="1" applyAlignment="1" applyProtection="1">
      <alignment horizontal="center"/>
      <protection/>
    </xf>
    <xf numFmtId="0" fontId="7" fillId="38" borderId="30" xfId="0" applyFont="1" applyFill="1" applyBorder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7" fillId="38" borderId="38" xfId="0" applyFont="1" applyFill="1" applyBorder="1" applyAlignment="1" applyProtection="1">
      <alignment horizontal="left"/>
      <protection/>
    </xf>
    <xf numFmtId="0" fontId="0" fillId="38" borderId="0" xfId="0" applyFont="1" applyFill="1" applyBorder="1" applyAlignment="1" applyProtection="1">
      <alignment horizontal="left"/>
      <protection/>
    </xf>
    <xf numFmtId="0" fontId="7" fillId="38" borderId="14" xfId="0" applyFont="1" applyFill="1" applyBorder="1" applyAlignment="1" applyProtection="1">
      <alignment horizontal="center"/>
      <protection/>
    </xf>
    <xf numFmtId="0" fontId="7" fillId="38" borderId="16" xfId="0" applyFont="1" applyFill="1" applyBorder="1" applyAlignment="1" applyProtection="1">
      <alignment horizontal="center"/>
      <protection/>
    </xf>
    <xf numFmtId="0" fontId="7" fillId="38" borderId="34" xfId="0" applyFont="1" applyFill="1" applyBorder="1" applyAlignment="1" applyProtection="1">
      <alignment horizontal="left"/>
      <protection/>
    </xf>
    <xf numFmtId="0" fontId="7" fillId="38" borderId="35" xfId="0" applyFont="1" applyFill="1" applyBorder="1" applyAlignment="1" applyProtection="1">
      <alignment horizontal="center"/>
      <protection/>
    </xf>
    <xf numFmtId="0" fontId="7" fillId="38" borderId="0" xfId="0" applyNumberFormat="1" applyFont="1" applyFill="1" applyBorder="1" applyAlignment="1" applyProtection="1">
      <alignment horizontal="center"/>
      <protection/>
    </xf>
    <xf numFmtId="0" fontId="7" fillId="38" borderId="33" xfId="0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 horizontal="center"/>
      <protection/>
    </xf>
    <xf numFmtId="2" fontId="8" fillId="35" borderId="36" xfId="0" applyNumberFormat="1" applyFont="1" applyFill="1" applyBorder="1" applyAlignment="1" applyProtection="1">
      <alignment horizontal="center"/>
      <protection/>
    </xf>
    <xf numFmtId="185" fontId="8" fillId="35" borderId="36" xfId="0" applyNumberFormat="1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right"/>
      <protection/>
    </xf>
    <xf numFmtId="0" fontId="8" fillId="35" borderId="29" xfId="0" applyFont="1" applyFill="1" applyBorder="1" applyAlignment="1" applyProtection="1">
      <alignment horizontal="center"/>
      <protection/>
    </xf>
    <xf numFmtId="0" fontId="7" fillId="35" borderId="30" xfId="0" applyFont="1" applyFill="1" applyBorder="1" applyAlignment="1" applyProtection="1">
      <alignment horizontal="left"/>
      <protection/>
    </xf>
    <xf numFmtId="9" fontId="7" fillId="35" borderId="32" xfId="52" applyFont="1" applyFill="1" applyBorder="1" applyAlignment="1" applyProtection="1">
      <alignment horizontal="right"/>
      <protection/>
    </xf>
    <xf numFmtId="9" fontId="8" fillId="35" borderId="24" xfId="52" applyFont="1" applyFill="1" applyBorder="1" applyAlignment="1" applyProtection="1">
      <alignment horizontal="center"/>
      <protection/>
    </xf>
    <xf numFmtId="9" fontId="7" fillId="35" borderId="33" xfId="52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/>
      <protection/>
    </xf>
    <xf numFmtId="0" fontId="12" fillId="35" borderId="29" xfId="0" applyFont="1" applyFill="1" applyBorder="1" applyAlignment="1" applyProtection="1">
      <alignment horizontal="center"/>
      <protection/>
    </xf>
    <xf numFmtId="183" fontId="7" fillId="35" borderId="29" xfId="0" applyNumberFormat="1" applyFont="1" applyFill="1" applyBorder="1" applyAlignment="1" applyProtection="1">
      <alignment horizontal="center"/>
      <protection/>
    </xf>
    <xf numFmtId="0" fontId="7" fillId="35" borderId="30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184" fontId="7" fillId="35" borderId="0" xfId="0" applyNumberFormat="1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 horizontal="left"/>
      <protection/>
    </xf>
    <xf numFmtId="0" fontId="7" fillId="35" borderId="24" xfId="0" applyFont="1" applyFill="1" applyBorder="1" applyAlignment="1" applyProtection="1">
      <alignment/>
      <protection/>
    </xf>
    <xf numFmtId="0" fontId="7" fillId="35" borderId="33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7" fillId="38" borderId="11" xfId="0" applyFont="1" applyFill="1" applyBorder="1" applyAlignment="1" applyProtection="1">
      <alignment horizontal="center"/>
      <protection/>
    </xf>
    <xf numFmtId="0" fontId="19" fillId="38" borderId="10" xfId="0" applyFont="1" applyFill="1" applyBorder="1" applyAlignment="1" applyProtection="1">
      <alignment horizontal="center"/>
      <protection/>
    </xf>
    <xf numFmtId="0" fontId="19" fillId="38" borderId="11" xfId="0" applyFont="1" applyFill="1" applyBorder="1" applyAlignment="1" applyProtection="1">
      <alignment horizontal="center"/>
      <protection/>
    </xf>
    <xf numFmtId="0" fontId="19" fillId="38" borderId="12" xfId="0" applyFont="1" applyFill="1" applyBorder="1" applyAlignment="1" applyProtection="1">
      <alignment horizontal="center"/>
      <protection/>
    </xf>
    <xf numFmtId="0" fontId="19" fillId="38" borderId="13" xfId="0" applyFont="1" applyFill="1" applyBorder="1" applyAlignment="1" applyProtection="1">
      <alignment horizontal="center"/>
      <protection/>
    </xf>
    <xf numFmtId="0" fontId="7" fillId="38" borderId="13" xfId="0" applyFont="1" applyFill="1" applyBorder="1" applyAlignment="1" applyProtection="1">
      <alignment horizontal="center"/>
      <protection/>
    </xf>
    <xf numFmtId="0" fontId="7" fillId="38" borderId="17" xfId="0" applyFont="1" applyFill="1" applyBorder="1" applyAlignment="1" applyProtection="1">
      <alignment horizontal="center"/>
      <protection/>
    </xf>
    <xf numFmtId="0" fontId="19" fillId="38" borderId="15" xfId="0" applyFont="1" applyFill="1" applyBorder="1" applyAlignment="1" applyProtection="1">
      <alignment horizontal="center"/>
      <protection/>
    </xf>
    <xf numFmtId="0" fontId="7" fillId="38" borderId="15" xfId="0" applyFont="1" applyFill="1" applyBorder="1" applyAlignment="1" applyProtection="1">
      <alignment horizontal="center"/>
      <protection/>
    </xf>
    <xf numFmtId="0" fontId="7" fillId="38" borderId="18" xfId="0" applyFont="1" applyFill="1" applyBorder="1" applyAlignment="1" applyProtection="1">
      <alignment horizontal="center"/>
      <protection/>
    </xf>
    <xf numFmtId="0" fontId="7" fillId="34" borderId="21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" fontId="7" fillId="0" borderId="28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180" fontId="7" fillId="0" borderId="23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80" fontId="7" fillId="0" borderId="33" xfId="0" applyNumberFormat="1" applyFont="1" applyBorder="1" applyAlignment="1" applyProtection="1">
      <alignment horizontal="center"/>
      <protection/>
    </xf>
    <xf numFmtId="0" fontId="26" fillId="0" borderId="27" xfId="0" applyFont="1" applyBorder="1" applyAlignment="1" applyProtection="1">
      <alignment horizontal="center"/>
      <protection/>
    </xf>
    <xf numFmtId="0" fontId="26" fillId="0" borderId="36" xfId="0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6" fillId="37" borderId="0" xfId="0" applyFont="1" applyFill="1" applyBorder="1" applyAlignment="1" applyProtection="1">
      <alignment/>
      <protection/>
    </xf>
    <xf numFmtId="0" fontId="10" fillId="38" borderId="30" xfId="0" applyFont="1" applyFill="1" applyBorder="1" applyAlignment="1" applyProtection="1" quotePrefix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7" fillId="38" borderId="29" xfId="0" applyFont="1" applyFill="1" applyBorder="1" applyAlignment="1" applyProtection="1">
      <alignment horizontal="center"/>
      <protection/>
    </xf>
    <xf numFmtId="0" fontId="7" fillId="38" borderId="2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/>
      <protection/>
    </xf>
    <xf numFmtId="0" fontId="13" fillId="38" borderId="0" xfId="0" applyFont="1" applyFill="1" applyBorder="1" applyAlignment="1" applyProtection="1">
      <alignment horizontal="center"/>
      <protection/>
    </xf>
    <xf numFmtId="2" fontId="13" fillId="0" borderId="28" xfId="0" applyNumberFormat="1" applyFont="1" applyBorder="1" applyAlignment="1" applyProtection="1">
      <alignment horizontal="left"/>
      <protection/>
    </xf>
    <xf numFmtId="2" fontId="13" fillId="38" borderId="29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13" fillId="38" borderId="24" xfId="0" applyFont="1" applyFill="1" applyBorder="1" applyAlignment="1" applyProtection="1">
      <alignment horizontal="center"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180" fontId="1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 quotePrefix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2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14" fillId="38" borderId="0" xfId="0" applyFont="1" applyFill="1" applyBorder="1" applyAlignment="1" applyProtection="1">
      <alignment horizontal="center"/>
      <protection/>
    </xf>
    <xf numFmtId="2" fontId="13" fillId="0" borderId="45" xfId="0" applyNumberFormat="1" applyFont="1" applyBorder="1" applyAlignment="1" applyProtection="1">
      <alignment horizontal="center"/>
      <protection/>
    </xf>
    <xf numFmtId="0" fontId="10" fillId="38" borderId="0" xfId="0" applyFont="1" applyFill="1" applyBorder="1" applyAlignment="1" applyProtection="1">
      <alignment/>
      <protection/>
    </xf>
    <xf numFmtId="17" fontId="15" fillId="0" borderId="0" xfId="0" applyNumberFormat="1" applyFont="1" applyAlignment="1" applyProtection="1" quotePrefix="1">
      <alignment horizontal="right"/>
      <protection/>
    </xf>
    <xf numFmtId="0" fontId="7" fillId="0" borderId="28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4" fontId="7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02825"/>
          <c:w val="0.73"/>
          <c:h val="0.8335"/>
        </c:manualLayout>
      </c:layout>
      <c:surface3DChart>
        <c:ser>
          <c:idx val="0"/>
          <c:order val="0"/>
          <c:tx>
            <c:strRef>
              <c:f>Feuil3!$F$20</c:f>
              <c:strCache>
                <c:ptCount val="1"/>
                <c:pt idx="0">
                  <c:v>0.20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Feuil3!$E$21:$E$29</c:f>
              <c:numCache/>
            </c:numRef>
          </c:cat>
          <c:val>
            <c:numRef>
              <c:f>Feuil3!$F$21:$F$29</c:f>
              <c:numCache/>
            </c:numRef>
          </c:val>
        </c:ser>
        <c:ser>
          <c:idx val="1"/>
          <c:order val="1"/>
          <c:tx>
            <c:strRef>
              <c:f>Feuil3!$G$20</c:f>
              <c:strCache>
                <c:ptCount val="1"/>
                <c:pt idx="0">
                  <c:v>0.19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Feuil3!$G$21:$G$29</c:f>
              <c:numCache/>
            </c:numRef>
          </c:val>
        </c:ser>
        <c:ser>
          <c:idx val="2"/>
          <c:order val="2"/>
          <c:tx>
            <c:strRef>
              <c:f>Feuil3!$H$20</c:f>
              <c:strCache>
                <c:ptCount val="1"/>
                <c:pt idx="0">
                  <c:v>0.18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Feuil3!$H$21:$H$29</c:f>
              <c:numCache/>
            </c:numRef>
          </c:val>
        </c:ser>
        <c:ser>
          <c:idx val="3"/>
          <c:order val="3"/>
          <c:tx>
            <c:strRef>
              <c:f>Feuil3!$I$20</c:f>
              <c:strCache>
                <c:ptCount val="1"/>
                <c:pt idx="0">
                  <c:v>0.16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Feuil3!$I$21:$I$29</c:f>
              <c:numCache/>
            </c:numRef>
          </c:val>
        </c:ser>
        <c:ser>
          <c:idx val="4"/>
          <c:order val="4"/>
          <c:tx>
            <c:strRef>
              <c:f>Feuil3!$J$20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Feuil3!$J$21:$J$29</c:f>
              <c:numCache/>
            </c:numRef>
          </c:val>
        </c:ser>
        <c:ser>
          <c:idx val="5"/>
          <c:order val="5"/>
          <c:tx>
            <c:strRef>
              <c:f>Feuil3!$K$20</c:f>
              <c:strCache>
                <c:ptCount val="1"/>
                <c:pt idx="0">
                  <c:v>0.14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Feuil3!$K$21:$K$29</c:f>
              <c:numCache/>
            </c:numRef>
          </c:val>
        </c:ser>
        <c:ser>
          <c:idx val="6"/>
          <c:order val="6"/>
          <c:tx>
            <c:strRef>
              <c:f>Feuil3!$L$20</c:f>
              <c:strCache>
                <c:ptCount val="1"/>
                <c:pt idx="0">
                  <c:v>0.13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Feuil3!$L$21:$L$29</c:f>
              <c:numCache/>
            </c:numRef>
          </c:val>
        </c:ser>
        <c:ser>
          <c:idx val="7"/>
          <c:order val="7"/>
          <c:tx>
            <c:strRef>
              <c:f>Feuil3!$M$20</c:f>
              <c:strCache>
                <c:ptCount val="1"/>
                <c:pt idx="0">
                  <c:v>0.11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Feuil3!$M$21:$M$29</c:f>
              <c:numCache/>
            </c:numRef>
          </c:val>
        </c:ser>
        <c:ser>
          <c:idx val="8"/>
          <c:order val="8"/>
          <c:tx>
            <c:strRef>
              <c:f>Feuil3!$N$20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Feuil3!$E$21:$E$29</c:f>
              <c:numCache/>
            </c:numRef>
          </c:cat>
          <c:val>
            <c:numRef>
              <c:f>Feuil3!$N$21:$N$29</c:f>
              <c:numCache/>
            </c:numRef>
          </c:val>
        </c:ser>
        <c:axId val="32780872"/>
        <c:axId val="26592393"/>
        <c:axId val="38004946"/>
      </c:surface3D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</c:valAx>
      <c:ser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9239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20125"/>
          <c:w val="0.11225"/>
          <c:h val="0.6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Béton, aciers, point d'application de la charge 
et axe neutre par rapport au centre de gravité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45"/>
          <c:w val="0.92875"/>
          <c:h val="0.87475"/>
        </c:manualLayout>
      </c:layout>
      <c:scatterChart>
        <c:scatterStyle val="line"/>
        <c:varyColors val="0"/>
        <c:ser>
          <c:idx val="0"/>
          <c:order val="0"/>
          <c:tx>
            <c:strRef>
              <c:f>Calculs!$AA$90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Calculs!$Z$91:$Z$330</c:f>
              <c:numCache/>
            </c:numRef>
          </c:xVal>
          <c:yVal>
            <c:numRef>
              <c:f>Calculs!$AA$91:$AA$330</c:f>
              <c:numCache/>
            </c:numRef>
          </c:yVal>
          <c:smooth val="0"/>
        </c:ser>
        <c:axId val="6500195"/>
        <c:axId val="58501756"/>
      </c:scatterChart>
      <c:valAx>
        <c:axId val="6500195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 val="max"/>
        <c:crossBetween val="midCat"/>
        <c:dispUnits/>
        <c:majorUnit val="0.2"/>
      </c:valAx>
      <c:valAx>
        <c:axId val="58501756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19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Béton, aciers, point d'application de la charge 
et axe neutre en coordonnées de base</a:t>
            </a:r>
          </a:p>
        </c:rich>
      </c:tx>
      <c:layout>
        <c:manualLayout>
          <c:xMode val="factor"/>
          <c:yMode val="factor"/>
          <c:x val="-0.27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7"/>
          <c:w val="0.9832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Calculs!$V$90</c:f>
              <c:strCache>
                <c:ptCount val="1"/>
                <c:pt idx="0">
                  <c:v>axe neutre, section béton &amp; aciers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Calculs!$U$91:$U$336</c:f>
              <c:numCache/>
            </c:numRef>
          </c:xVal>
          <c:yVal>
            <c:numRef>
              <c:f>Calculs!$V$91:$V$336</c:f>
              <c:numCache/>
            </c:numRef>
          </c:yVal>
          <c:smooth val="0"/>
        </c:ser>
        <c:ser>
          <c:idx val="1"/>
          <c:order val="1"/>
          <c:tx>
            <c:strRef>
              <c:f>Calculs!$W$90</c:f>
              <c:strCache>
                <c:ptCount val="1"/>
                <c:pt idx="0">
                  <c:v>axes principaux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Calculs!$U$91:$U$336</c:f>
              <c:numCache/>
            </c:numRef>
          </c:xVal>
          <c:yVal>
            <c:numRef>
              <c:f>Calculs!$W$91:$W$336</c:f>
              <c:numCache/>
            </c:numRef>
          </c:yVal>
          <c:smooth val="0"/>
        </c:ser>
        <c:axId val="56753757"/>
        <c:axId val="41021766"/>
      </c:scatterChart>
      <c:valAx>
        <c:axId val="56753757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021766"/>
        <c:crosses val="autoZero"/>
        <c:crossBetween val="midCat"/>
        <c:dispUnits/>
        <c:majorUnit val="0.2"/>
      </c:valAx>
      <c:valAx>
        <c:axId val="4102176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75"/>
          <c:y val="0"/>
          <c:w val="0.42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19</xdr:row>
      <xdr:rowOff>76200</xdr:rowOff>
    </xdr:from>
    <xdr:to>
      <xdr:col>22</xdr:col>
      <xdr:colOff>552450</xdr:colOff>
      <xdr:row>42</xdr:row>
      <xdr:rowOff>123825</xdr:rowOff>
    </xdr:to>
    <xdr:graphicFrame>
      <xdr:nvGraphicFramePr>
        <xdr:cNvPr id="1" name="Chart 10"/>
        <xdr:cNvGraphicFramePr/>
      </xdr:nvGraphicFramePr>
      <xdr:xfrm>
        <a:off x="8058150" y="2609850"/>
        <a:ext cx="52387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127</xdr:row>
      <xdr:rowOff>9525</xdr:rowOff>
    </xdr:from>
    <xdr:to>
      <xdr:col>12</xdr:col>
      <xdr:colOff>361950</xdr:colOff>
      <xdr:row>163</xdr:row>
      <xdr:rowOff>133350</xdr:rowOff>
    </xdr:to>
    <xdr:graphicFrame>
      <xdr:nvGraphicFramePr>
        <xdr:cNvPr id="1" name="Chart 6"/>
        <xdr:cNvGraphicFramePr/>
      </xdr:nvGraphicFramePr>
      <xdr:xfrm>
        <a:off x="1028700" y="20116800"/>
        <a:ext cx="6143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13</xdr:row>
      <xdr:rowOff>142875</xdr:rowOff>
    </xdr:from>
    <xdr:to>
      <xdr:col>3</xdr:col>
      <xdr:colOff>342900</xdr:colOff>
      <xdr:row>17</xdr:row>
      <xdr:rowOff>9525</xdr:rowOff>
    </xdr:to>
    <xdr:sp>
      <xdr:nvSpPr>
        <xdr:cNvPr id="2" name="Line 162"/>
        <xdr:cNvSpPr>
          <a:spLocks/>
        </xdr:cNvSpPr>
      </xdr:nvSpPr>
      <xdr:spPr>
        <a:xfrm flipH="1">
          <a:off x="1304925" y="2305050"/>
          <a:ext cx="5334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133350</xdr:rowOff>
    </xdr:from>
    <xdr:to>
      <xdr:col>7</xdr:col>
      <xdr:colOff>590550</xdr:colOff>
      <xdr:row>17</xdr:row>
      <xdr:rowOff>0</xdr:rowOff>
    </xdr:to>
    <xdr:sp>
      <xdr:nvSpPr>
        <xdr:cNvPr id="3" name="Line 163"/>
        <xdr:cNvSpPr>
          <a:spLocks/>
        </xdr:cNvSpPr>
      </xdr:nvSpPr>
      <xdr:spPr>
        <a:xfrm>
          <a:off x="2447925" y="2295525"/>
          <a:ext cx="19050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123825</xdr:colOff>
      <xdr:row>83</xdr:row>
      <xdr:rowOff>114300</xdr:rowOff>
    </xdr:from>
    <xdr:to>
      <xdr:col>11</xdr:col>
      <xdr:colOff>628650</xdr:colOff>
      <xdr:row>119</xdr:row>
      <xdr:rowOff>9525</xdr:rowOff>
    </xdr:to>
    <xdr:graphicFrame>
      <xdr:nvGraphicFramePr>
        <xdr:cNvPr id="4" name="Chart 601"/>
        <xdr:cNvGraphicFramePr/>
      </xdr:nvGraphicFramePr>
      <xdr:xfrm>
        <a:off x="123825" y="13515975"/>
        <a:ext cx="66675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N73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8.28125" style="0" customWidth="1"/>
    <col min="2" max="2" width="9.28125" style="18" customWidth="1"/>
    <col min="3" max="3" width="10.140625" style="18" customWidth="1"/>
    <col min="4" max="4" width="9.28125" style="18" customWidth="1"/>
    <col min="5" max="5" width="6.28125" style="18" customWidth="1"/>
    <col min="6" max="6" width="9.28125" style="18" customWidth="1"/>
    <col min="7" max="10" width="7.8515625" style="18" customWidth="1"/>
    <col min="11" max="11" width="9.00390625" style="0" customWidth="1"/>
    <col min="12" max="12" width="8.140625" style="0" customWidth="1"/>
  </cols>
  <sheetData>
    <row r="1" spans="1:5" ht="10.5">
      <c r="A1" t="s">
        <v>176</v>
      </c>
      <c r="B1" s="18">
        <v>0.05</v>
      </c>
      <c r="C1" s="18" t="s">
        <v>58</v>
      </c>
      <c r="D1" s="26">
        <v>-44</v>
      </c>
      <c r="E1" s="17" t="s">
        <v>242</v>
      </c>
    </row>
    <row r="2" spans="1:8" ht="10.5">
      <c r="A2" t="s">
        <v>51</v>
      </c>
      <c r="B2" s="18">
        <f>B1*PI()/10</f>
        <v>0.015707963267948967</v>
      </c>
      <c r="C2" s="18" t="s">
        <v>57</v>
      </c>
      <c r="D2" s="26">
        <v>-50</v>
      </c>
      <c r="E2" s="17" t="s">
        <v>243</v>
      </c>
      <c r="H2" s="22" t="s">
        <v>88</v>
      </c>
    </row>
    <row r="3" spans="1:14" ht="10.5">
      <c r="A3" t="s">
        <v>241</v>
      </c>
      <c r="B3" s="18">
        <f>-PI()/4</f>
        <v>-0.7853981633974483</v>
      </c>
      <c r="C3" s="18" t="s">
        <v>58</v>
      </c>
      <c r="D3" s="18">
        <f>D1/180*PI()</f>
        <v>-0.767944870877505</v>
      </c>
      <c r="H3" s="18">
        <f>C11</f>
        <v>-0.766044443118978</v>
      </c>
      <c r="I3" s="18">
        <f>Nb</f>
        <v>4</v>
      </c>
      <c r="J3" s="18">
        <f>exg</f>
        <v>2.26</v>
      </c>
      <c r="K3">
        <f>fck</f>
        <v>35</v>
      </c>
      <c r="L3">
        <f>ecu</f>
        <v>3.5</v>
      </c>
      <c r="M3">
        <f>eud</f>
        <v>45</v>
      </c>
      <c r="N3">
        <f>ks</f>
        <v>1.08</v>
      </c>
    </row>
    <row r="4" spans="1:14" ht="10.5">
      <c r="A4" t="s">
        <v>170</v>
      </c>
      <c r="B4" s="18">
        <f>B2</f>
        <v>0.015707963267948967</v>
      </c>
      <c r="C4" s="18" t="s">
        <v>57</v>
      </c>
      <c r="D4" s="18">
        <f>D2/180*PI()</f>
        <v>-0.8726646259971648</v>
      </c>
      <c r="F4" s="24" t="e">
        <f>TrapS($C15,$D15,N$9,Nb,BXK,BYK,Na,AXK,AYK,AA,neq,exg,eyg)</f>
        <v>#VALUE!</v>
      </c>
      <c r="H4" s="18">
        <f>D11</f>
        <v>-0.6427876096865394</v>
      </c>
      <c r="I4" s="18">
        <f>Na</f>
        <v>14</v>
      </c>
      <c r="J4" s="18">
        <f>eyg</f>
        <v>0.82</v>
      </c>
      <c r="K4">
        <f>gc</f>
        <v>2.3333333333333335</v>
      </c>
      <c r="L4">
        <f>kc</f>
        <v>4.462500000000001</v>
      </c>
      <c r="M4">
        <f>fyk</f>
        <v>500</v>
      </c>
      <c r="N4">
        <f>euk</f>
        <v>50</v>
      </c>
    </row>
    <row r="5" spans="3:14" ht="10.5">
      <c r="C5" s="18" t="s">
        <v>159</v>
      </c>
      <c r="D5" s="26">
        <v>-0.1</v>
      </c>
      <c r="H5" s="18">
        <f>F9</f>
        <v>0.2</v>
      </c>
      <c r="I5" s="18">
        <f>neq</f>
        <v>15</v>
      </c>
      <c r="J5" s="18">
        <f>typ</f>
        <v>1</v>
      </c>
      <c r="K5">
        <f>ecc12</f>
        <v>2</v>
      </c>
      <c r="L5">
        <f>nc</f>
        <v>2</v>
      </c>
      <c r="M5">
        <f>gs</f>
        <v>1.6666666666666667</v>
      </c>
      <c r="N5">
        <f>eso</f>
        <v>1.5</v>
      </c>
    </row>
    <row r="6" spans="1:4" ht="10.5">
      <c r="A6" t="s">
        <v>171</v>
      </c>
      <c r="C6" s="18" t="s">
        <v>116</v>
      </c>
      <c r="D6" s="26">
        <v>-0.2</v>
      </c>
    </row>
    <row r="7" spans="1:14" ht="10.5">
      <c r="A7" t="s">
        <v>177</v>
      </c>
      <c r="C7" s="18" t="s">
        <v>178</v>
      </c>
      <c r="F7" s="18">
        <v>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</row>
    <row r="8" spans="1:14" ht="10.5">
      <c r="A8" t="s">
        <v>172</v>
      </c>
      <c r="C8" s="18">
        <f>1/0.3</f>
        <v>3.3333333333333335</v>
      </c>
      <c r="E8" s="18" t="s">
        <v>184</v>
      </c>
      <c r="F8" s="18">
        <f aca="true" t="shared" si="0" ref="F8:N8">$D6+($D5-$D6)*F7/8</f>
        <v>-0.2</v>
      </c>
      <c r="G8" s="18">
        <f t="shared" si="0"/>
        <v>-0.1875</v>
      </c>
      <c r="H8" s="18">
        <f t="shared" si="0"/>
        <v>-0.17500000000000002</v>
      </c>
      <c r="I8" s="18">
        <f t="shared" si="0"/>
        <v>-0.1625</v>
      </c>
      <c r="J8" s="18">
        <f t="shared" si="0"/>
        <v>-0.15000000000000002</v>
      </c>
      <c r="K8" s="18">
        <f t="shared" si="0"/>
        <v>-0.1375</v>
      </c>
      <c r="L8" s="18">
        <f t="shared" si="0"/>
        <v>-0.125</v>
      </c>
      <c r="M8" s="18">
        <f t="shared" si="0"/>
        <v>-0.1125</v>
      </c>
      <c r="N8" s="18">
        <f t="shared" si="0"/>
        <v>-0.1</v>
      </c>
    </row>
    <row r="9" spans="3:14" ht="10.5">
      <c r="C9" s="18">
        <v>-0.945721</v>
      </c>
      <c r="E9" s="18" t="s">
        <v>202</v>
      </c>
      <c r="F9" s="18">
        <f>-F8</f>
        <v>0.2</v>
      </c>
      <c r="G9" s="18">
        <f aca="true" t="shared" si="1" ref="G9:N9">-G8</f>
        <v>0.1875</v>
      </c>
      <c r="H9" s="18">
        <f t="shared" si="1"/>
        <v>0.17500000000000002</v>
      </c>
      <c r="I9" s="18">
        <f t="shared" si="1"/>
        <v>0.1625</v>
      </c>
      <c r="J9" s="18">
        <f t="shared" si="1"/>
        <v>0.15000000000000002</v>
      </c>
      <c r="K9" s="18">
        <f t="shared" si="1"/>
        <v>0.1375</v>
      </c>
      <c r="L9" s="18">
        <f t="shared" si="1"/>
        <v>0.125</v>
      </c>
      <c r="M9" s="18">
        <f t="shared" si="1"/>
        <v>0.1125</v>
      </c>
      <c r="N9" s="18">
        <f t="shared" si="1"/>
        <v>0.1</v>
      </c>
    </row>
    <row r="10" spans="2:6" ht="10.5">
      <c r="B10" s="18" t="s">
        <v>241</v>
      </c>
      <c r="C10" s="18" t="s">
        <v>200</v>
      </c>
      <c r="D10" s="18" t="s">
        <v>201</v>
      </c>
      <c r="F10" s="33" t="s">
        <v>97</v>
      </c>
    </row>
    <row r="11" spans="1:14" ht="10.5">
      <c r="A11">
        <v>0</v>
      </c>
      <c r="B11" s="18">
        <f aca="true" t="shared" si="2" ref="B11:B19">D$4+(D$3-D$4)*A11/8</f>
        <v>-0.8726646259971648</v>
      </c>
      <c r="C11" s="18">
        <f aca="true" t="shared" si="3" ref="C11:C19">SIN(B11)</f>
        <v>-0.766044443118978</v>
      </c>
      <c r="D11" s="18">
        <f>-COS(B11)</f>
        <v>-0.6427876096865394</v>
      </c>
      <c r="E11" s="25">
        <f>B11</f>
        <v>-0.8726646259971648</v>
      </c>
      <c r="F11" s="29" t="e">
        <f>TrapS($C11,$D11,F$9,Nb,BXK,BYK,Na,AXK,AYK,AA,neq,exg,eyg,typ,fck,gc,ecc12,ecu,kc,nc,eud,fyk,gs,ks,euk,eso,ELU)</f>
        <v>#VALUE!</v>
      </c>
      <c r="G11" s="20" t="e">
        <f aca="true" t="shared" si="4" ref="F11:N19">TrapS($C11,$D11,G$9,Nb,BXK,BYK,Na,AXK,AYK,AA,neq,exg,eyg,typ,fck,gc,ecc12,ecu,kc,nc,eud,fyk,gs,ks,euk,eso,ELU)</f>
        <v>#VALUE!</v>
      </c>
      <c r="H11" s="20" t="e">
        <f t="shared" si="4"/>
        <v>#VALUE!</v>
      </c>
      <c r="I11" s="20" t="e">
        <f t="shared" si="4"/>
        <v>#VALUE!</v>
      </c>
      <c r="J11" s="20" t="e">
        <f t="shared" si="4"/>
        <v>#VALUE!</v>
      </c>
      <c r="K11" s="20" t="e">
        <f t="shared" si="4"/>
        <v>#VALUE!</v>
      </c>
      <c r="L11" s="20" t="e">
        <f t="shared" si="4"/>
        <v>#VALUE!</v>
      </c>
      <c r="M11" s="20" t="e">
        <f t="shared" si="4"/>
        <v>#VALUE!</v>
      </c>
      <c r="N11" s="20" t="e">
        <f t="shared" si="4"/>
        <v>#VALUE!</v>
      </c>
    </row>
    <row r="12" spans="1:14" ht="10.5">
      <c r="A12">
        <v>1</v>
      </c>
      <c r="B12" s="18">
        <f t="shared" si="2"/>
        <v>-0.8595746566072073</v>
      </c>
      <c r="C12" s="18">
        <f t="shared" si="3"/>
        <v>-0.7575649843840496</v>
      </c>
      <c r="D12" s="18">
        <f aca="true" t="shared" si="5" ref="D12:D19">-COS(B12)</f>
        <v>-0.6527597524627224</v>
      </c>
      <c r="E12" s="25">
        <f aca="true" t="shared" si="6" ref="E12:E19">B12</f>
        <v>-0.8595746566072073</v>
      </c>
      <c r="F12" s="20" t="e">
        <f>TrapS($C12,$D12,F$9,Nb,BXK,BYK,Na,AXK,AYK,AA,neq,exg,eyg,typ,fck,gc,ecc12,ecu,kc,nc,eud,fyk,gs,ks,euk,eso,ELU)</f>
        <v>#VALUE!</v>
      </c>
      <c r="G12" s="20" t="e">
        <f t="shared" si="4"/>
        <v>#VALUE!</v>
      </c>
      <c r="H12" s="20" t="e">
        <f t="shared" si="4"/>
        <v>#VALUE!</v>
      </c>
      <c r="I12" s="20" t="e">
        <f t="shared" si="4"/>
        <v>#VALUE!</v>
      </c>
      <c r="J12" s="20" t="e">
        <f t="shared" si="4"/>
        <v>#VALUE!</v>
      </c>
      <c r="K12" s="20" t="e">
        <f t="shared" si="4"/>
        <v>#VALUE!</v>
      </c>
      <c r="L12" s="20" t="e">
        <f t="shared" si="4"/>
        <v>#VALUE!</v>
      </c>
      <c r="M12" s="20" t="e">
        <f t="shared" si="4"/>
        <v>#VALUE!</v>
      </c>
      <c r="N12" s="20" t="e">
        <f t="shared" si="4"/>
        <v>#VALUE!</v>
      </c>
    </row>
    <row r="13" spans="1:14" ht="10.5">
      <c r="A13">
        <v>2</v>
      </c>
      <c r="B13" s="18">
        <f t="shared" si="2"/>
        <v>-0.8464846872172498</v>
      </c>
      <c r="C13" s="18">
        <f t="shared" si="3"/>
        <v>-0.7489557207890021</v>
      </c>
      <c r="D13" s="18">
        <f t="shared" si="5"/>
        <v>-0.6626200482157375</v>
      </c>
      <c r="E13" s="25">
        <f t="shared" si="6"/>
        <v>-0.8464846872172498</v>
      </c>
      <c r="F13" s="20" t="e">
        <f t="shared" si="4"/>
        <v>#VALUE!</v>
      </c>
      <c r="G13" s="20" t="e">
        <f t="shared" si="4"/>
        <v>#VALUE!</v>
      </c>
      <c r="H13" s="20" t="e">
        <f t="shared" si="4"/>
        <v>#VALUE!</v>
      </c>
      <c r="I13" s="20" t="e">
        <f t="shared" si="4"/>
        <v>#VALUE!</v>
      </c>
      <c r="J13" s="20" t="e">
        <f t="shared" si="4"/>
        <v>#VALUE!</v>
      </c>
      <c r="K13" s="20" t="e">
        <f t="shared" si="4"/>
        <v>#VALUE!</v>
      </c>
      <c r="L13" s="20" t="e">
        <f t="shared" si="4"/>
        <v>#VALUE!</v>
      </c>
      <c r="M13" s="20" t="e">
        <f t="shared" si="4"/>
        <v>#VALUE!</v>
      </c>
      <c r="N13" s="20" t="e">
        <f t="shared" si="4"/>
        <v>#VALUE!</v>
      </c>
    </row>
    <row r="14" spans="1:14" ht="10.5">
      <c r="A14">
        <v>3</v>
      </c>
      <c r="B14" s="18">
        <f t="shared" si="2"/>
        <v>-0.8333947178272924</v>
      </c>
      <c r="C14" s="18">
        <f t="shared" si="3"/>
        <v>-0.740218127486832</v>
      </c>
      <c r="D14" s="18">
        <f t="shared" si="5"/>
        <v>-0.672366807434668</v>
      </c>
      <c r="E14" s="25">
        <f t="shared" si="6"/>
        <v>-0.8333947178272924</v>
      </c>
      <c r="F14" s="20" t="e">
        <f t="shared" si="4"/>
        <v>#VALUE!</v>
      </c>
      <c r="G14" s="20" t="e">
        <f t="shared" si="4"/>
        <v>#VALUE!</v>
      </c>
      <c r="H14" s="20" t="e">
        <f t="shared" si="4"/>
        <v>#VALUE!</v>
      </c>
      <c r="I14" s="20" t="e">
        <f t="shared" si="4"/>
        <v>#VALUE!</v>
      </c>
      <c r="J14" s="20" t="e">
        <f t="shared" si="4"/>
        <v>#VALUE!</v>
      </c>
      <c r="K14" s="20" t="e">
        <f t="shared" si="4"/>
        <v>#VALUE!</v>
      </c>
      <c r="L14" s="20" t="e">
        <f t="shared" si="4"/>
        <v>#VALUE!</v>
      </c>
      <c r="M14" s="20" t="e">
        <f t="shared" si="4"/>
        <v>#VALUE!</v>
      </c>
      <c r="N14" s="20" t="e">
        <f t="shared" si="4"/>
        <v>#VALUE!</v>
      </c>
    </row>
    <row r="15" spans="1:14" ht="10.5">
      <c r="A15">
        <v>4</v>
      </c>
      <c r="B15" s="18">
        <f t="shared" si="2"/>
        <v>-0.8203047484373349</v>
      </c>
      <c r="C15" s="21">
        <f t="shared" si="3"/>
        <v>-0.7313537016191705</v>
      </c>
      <c r="D15" s="21">
        <f t="shared" si="5"/>
        <v>-0.6819983600624985</v>
      </c>
      <c r="E15" s="25">
        <f t="shared" si="6"/>
        <v>-0.8203047484373349</v>
      </c>
      <c r="F15" s="20" t="e">
        <f t="shared" si="4"/>
        <v>#VALUE!</v>
      </c>
      <c r="G15" s="20" t="e">
        <f t="shared" si="4"/>
        <v>#VALUE!</v>
      </c>
      <c r="H15" s="20" t="e">
        <f t="shared" si="4"/>
        <v>#VALUE!</v>
      </c>
      <c r="I15" s="20" t="e">
        <f t="shared" si="4"/>
        <v>#VALUE!</v>
      </c>
      <c r="J15" s="20" t="e">
        <f t="shared" si="4"/>
        <v>#VALUE!</v>
      </c>
      <c r="K15" s="20" t="e">
        <f t="shared" si="4"/>
        <v>#VALUE!</v>
      </c>
      <c r="L15" s="20" t="e">
        <f t="shared" si="4"/>
        <v>#VALUE!</v>
      </c>
      <c r="M15" s="20" t="e">
        <f t="shared" si="4"/>
        <v>#VALUE!</v>
      </c>
      <c r="N15" s="20" t="e">
        <f t="shared" si="4"/>
        <v>#VALUE!</v>
      </c>
    </row>
    <row r="16" spans="1:14" ht="10.5">
      <c r="A16">
        <v>5</v>
      </c>
      <c r="B16" s="18">
        <f t="shared" si="2"/>
        <v>-0.8072147790473774</v>
      </c>
      <c r="C16" s="18">
        <f t="shared" si="3"/>
        <v>-0.7223639620597555</v>
      </c>
      <c r="D16" s="18">
        <f t="shared" si="5"/>
        <v>-0.6915130557822694</v>
      </c>
      <c r="E16" s="25">
        <f t="shared" si="6"/>
        <v>-0.8072147790473774</v>
      </c>
      <c r="F16" s="20" t="e">
        <f t="shared" si="4"/>
        <v>#VALUE!</v>
      </c>
      <c r="G16" s="20" t="e">
        <f t="shared" si="4"/>
        <v>#VALUE!</v>
      </c>
      <c r="H16" s="20" t="e">
        <f t="shared" si="4"/>
        <v>#VALUE!</v>
      </c>
      <c r="I16" s="20" t="e">
        <f t="shared" si="4"/>
        <v>#VALUE!</v>
      </c>
      <c r="J16" s="20" t="e">
        <f t="shared" si="4"/>
        <v>#VALUE!</v>
      </c>
      <c r="K16" s="20" t="e">
        <f t="shared" si="4"/>
        <v>#VALUE!</v>
      </c>
      <c r="L16" s="20" t="e">
        <f t="shared" si="4"/>
        <v>#VALUE!</v>
      </c>
      <c r="M16" s="20" t="e">
        <f t="shared" si="4"/>
        <v>#VALUE!</v>
      </c>
      <c r="N16" s="20" t="e">
        <f t="shared" si="4"/>
        <v>#VALUE!</v>
      </c>
    </row>
    <row r="17" spans="1:14" ht="10.5">
      <c r="A17">
        <v>6</v>
      </c>
      <c r="B17" s="18">
        <f t="shared" si="2"/>
        <v>-0.7941248096574199</v>
      </c>
      <c r="C17" s="18">
        <f t="shared" si="3"/>
        <v>-0.7132504491541816</v>
      </c>
      <c r="D17" s="18">
        <f t="shared" si="5"/>
        <v>-0.7009092642998509</v>
      </c>
      <c r="E17" s="25">
        <f t="shared" si="6"/>
        <v>-0.7941248096574199</v>
      </c>
      <c r="F17" s="20" t="e">
        <f t="shared" si="4"/>
        <v>#VALUE!</v>
      </c>
      <c r="G17" s="20" t="e">
        <f t="shared" si="4"/>
        <v>#VALUE!</v>
      </c>
      <c r="H17" s="20" t="e">
        <f t="shared" si="4"/>
        <v>#VALUE!</v>
      </c>
      <c r="I17" s="20" t="e">
        <f t="shared" si="4"/>
        <v>#VALUE!</v>
      </c>
      <c r="J17" s="20" t="e">
        <f t="shared" si="4"/>
        <v>#VALUE!</v>
      </c>
      <c r="K17" s="20" t="e">
        <f t="shared" si="4"/>
        <v>#VALUE!</v>
      </c>
      <c r="L17" s="20" t="e">
        <f t="shared" si="4"/>
        <v>#VALUE!</v>
      </c>
      <c r="M17" s="20" t="e">
        <f t="shared" si="4"/>
        <v>#VALUE!</v>
      </c>
      <c r="N17" s="20" t="e">
        <f t="shared" si="4"/>
        <v>#VALUE!</v>
      </c>
    </row>
    <row r="18" spans="1:14" ht="10.5">
      <c r="A18">
        <v>7</v>
      </c>
      <c r="B18" s="18">
        <f t="shared" si="2"/>
        <v>-0.7810348402674624</v>
      </c>
      <c r="C18" s="18">
        <f t="shared" si="3"/>
        <v>-0.7040147244559682</v>
      </c>
      <c r="D18" s="18">
        <f t="shared" si="5"/>
        <v>-0.7101853756232854</v>
      </c>
      <c r="E18" s="25">
        <f t="shared" si="6"/>
        <v>-0.7810348402674624</v>
      </c>
      <c r="F18" s="20" t="e">
        <f t="shared" si="4"/>
        <v>#VALUE!</v>
      </c>
      <c r="G18" s="20" t="e">
        <f t="shared" si="4"/>
        <v>#VALUE!</v>
      </c>
      <c r="H18" s="20" t="e">
        <f t="shared" si="4"/>
        <v>#VALUE!</v>
      </c>
      <c r="I18" s="20" t="e">
        <f t="shared" si="4"/>
        <v>#VALUE!</v>
      </c>
      <c r="J18" s="20" t="e">
        <f t="shared" si="4"/>
        <v>#VALUE!</v>
      </c>
      <c r="K18" s="20" t="e">
        <f t="shared" si="4"/>
        <v>#VALUE!</v>
      </c>
      <c r="L18" s="20" t="e">
        <f t="shared" si="4"/>
        <v>#VALUE!</v>
      </c>
      <c r="M18" s="20" t="e">
        <f t="shared" si="4"/>
        <v>#VALUE!</v>
      </c>
      <c r="N18" s="20" t="e">
        <f t="shared" si="4"/>
        <v>#VALUE!</v>
      </c>
    </row>
    <row r="19" spans="1:14" ht="10.5">
      <c r="A19">
        <v>8</v>
      </c>
      <c r="B19" s="18">
        <f t="shared" si="2"/>
        <v>-0.767944870877505</v>
      </c>
      <c r="C19" s="18">
        <f t="shared" si="3"/>
        <v>-0.6946583704589973</v>
      </c>
      <c r="D19" s="18">
        <f t="shared" si="5"/>
        <v>-0.7193398003386512</v>
      </c>
      <c r="E19" s="25">
        <f t="shared" si="6"/>
        <v>-0.767944870877505</v>
      </c>
      <c r="F19" s="20" t="e">
        <f t="shared" si="4"/>
        <v>#VALUE!</v>
      </c>
      <c r="G19" s="20" t="e">
        <f t="shared" si="4"/>
        <v>#VALUE!</v>
      </c>
      <c r="H19" s="20" t="e">
        <f t="shared" si="4"/>
        <v>#VALUE!</v>
      </c>
      <c r="I19" s="20" t="e">
        <f t="shared" si="4"/>
        <v>#VALUE!</v>
      </c>
      <c r="J19" s="20" t="e">
        <f t="shared" si="4"/>
        <v>#VALUE!</v>
      </c>
      <c r="K19" s="20" t="e">
        <f t="shared" si="4"/>
        <v>#VALUE!</v>
      </c>
      <c r="L19" s="20" t="e">
        <f t="shared" si="4"/>
        <v>#VALUE!</v>
      </c>
      <c r="M19" s="20" t="e">
        <f t="shared" si="4"/>
        <v>#VALUE!</v>
      </c>
      <c r="N19" s="20" t="e">
        <f t="shared" si="4"/>
        <v>#VALUE!</v>
      </c>
    </row>
    <row r="20" spans="6:14" ht="10.5">
      <c r="F20" s="25">
        <f>F9</f>
        <v>0.2</v>
      </c>
      <c r="G20" s="25">
        <f aca="true" t="shared" si="7" ref="G20:N20">G9</f>
        <v>0.1875</v>
      </c>
      <c r="H20" s="25">
        <f t="shared" si="7"/>
        <v>0.17500000000000002</v>
      </c>
      <c r="I20" s="25">
        <f t="shared" si="7"/>
        <v>0.1625</v>
      </c>
      <c r="J20" s="25">
        <f t="shared" si="7"/>
        <v>0.15000000000000002</v>
      </c>
      <c r="K20" s="25">
        <f t="shared" si="7"/>
        <v>0.1375</v>
      </c>
      <c r="L20" s="25">
        <f t="shared" si="7"/>
        <v>0.125</v>
      </c>
      <c r="M20" s="25">
        <f t="shared" si="7"/>
        <v>0.1125</v>
      </c>
      <c r="N20" s="25">
        <f t="shared" si="7"/>
        <v>0.1</v>
      </c>
    </row>
    <row r="21" spans="1:14" ht="10.5">
      <c r="A21">
        <f aca="true" t="shared" si="8" ref="A21:A29">B21*180/PI()</f>
        <v>-50</v>
      </c>
      <c r="B21" s="18">
        <f aca="true" t="shared" si="9" ref="B21:D27">B11</f>
        <v>-0.8726646259971648</v>
      </c>
      <c r="C21" s="18">
        <f t="shared" si="9"/>
        <v>-0.766044443118978</v>
      </c>
      <c r="D21" s="18">
        <f t="shared" si="9"/>
        <v>-0.6427876096865394</v>
      </c>
      <c r="E21" s="25">
        <f>B21</f>
        <v>-0.8726646259971648</v>
      </c>
      <c r="F21" s="27" t="e">
        <f aca="true" t="shared" si="10" ref="F21:F26">macf(F11,8)</f>
        <v>#VALUE!</v>
      </c>
      <c r="G21" s="19" t="e">
        <f aca="true" t="shared" si="11" ref="G21:N21">macf(G11,8)</f>
        <v>#VALUE!</v>
      </c>
      <c r="H21" s="19" t="e">
        <f t="shared" si="11"/>
        <v>#VALUE!</v>
      </c>
      <c r="I21" s="19" t="e">
        <f t="shared" si="11"/>
        <v>#VALUE!</v>
      </c>
      <c r="J21" s="19" t="e">
        <f t="shared" si="11"/>
        <v>#VALUE!</v>
      </c>
      <c r="K21" s="19" t="e">
        <f t="shared" si="11"/>
        <v>#VALUE!</v>
      </c>
      <c r="L21" s="19" t="e">
        <f t="shared" si="11"/>
        <v>#VALUE!</v>
      </c>
      <c r="M21" s="19" t="e">
        <f t="shared" si="11"/>
        <v>#VALUE!</v>
      </c>
      <c r="N21" s="19" t="e">
        <f t="shared" si="11"/>
        <v>#VALUE!</v>
      </c>
    </row>
    <row r="22" spans="1:14" ht="10.5">
      <c r="A22">
        <f t="shared" si="8"/>
        <v>-49.25000000000001</v>
      </c>
      <c r="B22" s="18">
        <f t="shared" si="9"/>
        <v>-0.8595746566072073</v>
      </c>
      <c r="C22" s="18">
        <f t="shared" si="9"/>
        <v>-0.7575649843840496</v>
      </c>
      <c r="D22" s="18">
        <f t="shared" si="9"/>
        <v>-0.6527597524627224</v>
      </c>
      <c r="E22" s="25">
        <f aca="true" t="shared" si="12" ref="E22:E29">B22</f>
        <v>-0.8595746566072073</v>
      </c>
      <c r="F22" s="19" t="e">
        <f t="shared" si="10"/>
        <v>#VALUE!</v>
      </c>
      <c r="G22" s="19" t="e">
        <f aca="true" t="shared" si="13" ref="G22:N26">macf(G12,8)</f>
        <v>#VALUE!</v>
      </c>
      <c r="H22" s="19" t="e">
        <f t="shared" si="13"/>
        <v>#VALUE!</v>
      </c>
      <c r="I22" s="19" t="e">
        <f t="shared" si="13"/>
        <v>#VALUE!</v>
      </c>
      <c r="J22" s="19" t="e">
        <f t="shared" si="13"/>
        <v>#VALUE!</v>
      </c>
      <c r="K22" s="19" t="e">
        <f t="shared" si="13"/>
        <v>#VALUE!</v>
      </c>
      <c r="L22" s="19" t="e">
        <f t="shared" si="13"/>
        <v>#VALUE!</v>
      </c>
      <c r="M22" s="19" t="e">
        <f t="shared" si="13"/>
        <v>#VALUE!</v>
      </c>
      <c r="N22" s="19" t="e">
        <f t="shared" si="13"/>
        <v>#VALUE!</v>
      </c>
    </row>
    <row r="23" spans="1:14" ht="10.5">
      <c r="A23">
        <f t="shared" si="8"/>
        <v>-48.5</v>
      </c>
      <c r="B23" s="18">
        <f t="shared" si="9"/>
        <v>-0.8464846872172498</v>
      </c>
      <c r="C23" s="18">
        <f t="shared" si="9"/>
        <v>-0.7489557207890021</v>
      </c>
      <c r="D23" s="18">
        <f t="shared" si="9"/>
        <v>-0.6626200482157375</v>
      </c>
      <c r="E23" s="25">
        <f t="shared" si="12"/>
        <v>-0.8464846872172498</v>
      </c>
      <c r="F23" s="19" t="e">
        <f t="shared" si="10"/>
        <v>#VALUE!</v>
      </c>
      <c r="G23" s="19" t="e">
        <f t="shared" si="13"/>
        <v>#VALUE!</v>
      </c>
      <c r="H23" s="19" t="e">
        <f t="shared" si="13"/>
        <v>#VALUE!</v>
      </c>
      <c r="I23" s="19" t="e">
        <f t="shared" si="13"/>
        <v>#VALUE!</v>
      </c>
      <c r="J23" s="19" t="e">
        <f t="shared" si="13"/>
        <v>#VALUE!</v>
      </c>
      <c r="K23" s="19" t="e">
        <f t="shared" si="13"/>
        <v>#VALUE!</v>
      </c>
      <c r="L23" s="19" t="e">
        <f t="shared" si="13"/>
        <v>#VALUE!</v>
      </c>
      <c r="M23" s="19" t="e">
        <f t="shared" si="13"/>
        <v>#VALUE!</v>
      </c>
      <c r="N23" s="19" t="e">
        <f t="shared" si="13"/>
        <v>#VALUE!</v>
      </c>
    </row>
    <row r="24" spans="1:14" ht="10.5">
      <c r="A24">
        <f t="shared" si="8"/>
        <v>-47.75</v>
      </c>
      <c r="B24" s="18">
        <f t="shared" si="9"/>
        <v>-0.8333947178272924</v>
      </c>
      <c r="C24" s="18">
        <f t="shared" si="9"/>
        <v>-0.740218127486832</v>
      </c>
      <c r="D24" s="18">
        <f t="shared" si="9"/>
        <v>-0.672366807434668</v>
      </c>
      <c r="E24" s="25">
        <f t="shared" si="12"/>
        <v>-0.8333947178272924</v>
      </c>
      <c r="F24" s="19" t="e">
        <f t="shared" si="10"/>
        <v>#VALUE!</v>
      </c>
      <c r="G24" s="19" t="e">
        <f t="shared" si="13"/>
        <v>#VALUE!</v>
      </c>
      <c r="H24" s="19" t="e">
        <f t="shared" si="13"/>
        <v>#VALUE!</v>
      </c>
      <c r="I24" s="19" t="e">
        <f t="shared" si="13"/>
        <v>#VALUE!</v>
      </c>
      <c r="J24" s="19" t="e">
        <f t="shared" si="13"/>
        <v>#VALUE!</v>
      </c>
      <c r="K24" s="19" t="e">
        <f t="shared" si="13"/>
        <v>#VALUE!</v>
      </c>
      <c r="L24" s="19" t="e">
        <f t="shared" si="13"/>
        <v>#VALUE!</v>
      </c>
      <c r="M24" s="19" t="e">
        <f t="shared" si="13"/>
        <v>#VALUE!</v>
      </c>
      <c r="N24" s="19" t="e">
        <f t="shared" si="13"/>
        <v>#VALUE!</v>
      </c>
    </row>
    <row r="25" spans="1:14" ht="10.5">
      <c r="A25">
        <f t="shared" si="8"/>
        <v>-47</v>
      </c>
      <c r="B25" s="18">
        <f t="shared" si="9"/>
        <v>-0.8203047484373349</v>
      </c>
      <c r="C25" s="18">
        <f t="shared" si="9"/>
        <v>-0.7313537016191705</v>
      </c>
      <c r="D25" s="18">
        <f t="shared" si="9"/>
        <v>-0.6819983600624985</v>
      </c>
      <c r="E25" s="25">
        <f t="shared" si="12"/>
        <v>-0.8203047484373349</v>
      </c>
      <c r="F25" s="19" t="e">
        <f t="shared" si="10"/>
        <v>#VALUE!</v>
      </c>
      <c r="G25" s="19" t="e">
        <f t="shared" si="13"/>
        <v>#VALUE!</v>
      </c>
      <c r="H25" s="19" t="e">
        <f t="shared" si="13"/>
        <v>#VALUE!</v>
      </c>
      <c r="I25" s="19" t="e">
        <f t="shared" si="13"/>
        <v>#VALUE!</v>
      </c>
      <c r="J25" s="19" t="e">
        <f t="shared" si="13"/>
        <v>#VALUE!</v>
      </c>
      <c r="K25" s="19" t="e">
        <f t="shared" si="13"/>
        <v>#VALUE!</v>
      </c>
      <c r="L25" s="19" t="e">
        <f t="shared" si="13"/>
        <v>#VALUE!</v>
      </c>
      <c r="M25" s="19" t="e">
        <f t="shared" si="13"/>
        <v>#VALUE!</v>
      </c>
      <c r="N25" s="19" t="e">
        <f t="shared" si="13"/>
        <v>#VALUE!</v>
      </c>
    </row>
    <row r="26" spans="1:14" ht="10.5">
      <c r="A26">
        <f t="shared" si="8"/>
        <v>-46.25</v>
      </c>
      <c r="B26" s="18">
        <f t="shared" si="9"/>
        <v>-0.8072147790473774</v>
      </c>
      <c r="C26" s="18">
        <f t="shared" si="9"/>
        <v>-0.7223639620597555</v>
      </c>
      <c r="D26" s="18">
        <f t="shared" si="9"/>
        <v>-0.6915130557822694</v>
      </c>
      <c r="E26" s="25">
        <f t="shared" si="12"/>
        <v>-0.8072147790473774</v>
      </c>
      <c r="F26" s="19" t="e">
        <f t="shared" si="10"/>
        <v>#VALUE!</v>
      </c>
      <c r="G26" s="19" t="e">
        <f t="shared" si="13"/>
        <v>#VALUE!</v>
      </c>
      <c r="H26" s="19" t="e">
        <f t="shared" si="13"/>
        <v>#VALUE!</v>
      </c>
      <c r="I26" s="28" t="e">
        <f>macf(I16,8)</f>
        <v>#VALUE!</v>
      </c>
      <c r="J26" s="19" t="e">
        <f t="shared" si="13"/>
        <v>#VALUE!</v>
      </c>
      <c r="K26" s="19" t="e">
        <f t="shared" si="13"/>
        <v>#VALUE!</v>
      </c>
      <c r="L26" s="19" t="e">
        <f t="shared" si="13"/>
        <v>#VALUE!</v>
      </c>
      <c r="M26" s="19" t="e">
        <f t="shared" si="13"/>
        <v>#VALUE!</v>
      </c>
      <c r="N26" s="19" t="e">
        <f t="shared" si="13"/>
        <v>#VALUE!</v>
      </c>
    </row>
    <row r="27" spans="1:14" ht="10.5">
      <c r="A27">
        <f t="shared" si="8"/>
        <v>-45.5</v>
      </c>
      <c r="B27" s="18">
        <f t="shared" si="9"/>
        <v>-0.7941248096574199</v>
      </c>
      <c r="C27" s="18">
        <f t="shared" si="9"/>
        <v>-0.7132504491541816</v>
      </c>
      <c r="D27" s="18">
        <f t="shared" si="9"/>
        <v>-0.7009092642998509</v>
      </c>
      <c r="E27" s="25">
        <f t="shared" si="12"/>
        <v>-0.7941248096574199</v>
      </c>
      <c r="F27" s="19" t="e">
        <f aca="true" t="shared" si="14" ref="F27:N27">macf(F17,8)</f>
        <v>#VALUE!</v>
      </c>
      <c r="G27" s="19" t="e">
        <f t="shared" si="14"/>
        <v>#VALUE!</v>
      </c>
      <c r="H27" s="19" t="e">
        <f t="shared" si="14"/>
        <v>#VALUE!</v>
      </c>
      <c r="I27" s="19" t="e">
        <f t="shared" si="14"/>
        <v>#VALUE!</v>
      </c>
      <c r="J27" s="19" t="e">
        <f t="shared" si="14"/>
        <v>#VALUE!</v>
      </c>
      <c r="K27" s="19" t="e">
        <f t="shared" si="14"/>
        <v>#VALUE!</v>
      </c>
      <c r="L27" s="19" t="e">
        <f t="shared" si="14"/>
        <v>#VALUE!</v>
      </c>
      <c r="M27" s="19" t="e">
        <f t="shared" si="14"/>
        <v>#VALUE!</v>
      </c>
      <c r="N27" s="19" t="e">
        <f t="shared" si="14"/>
        <v>#VALUE!</v>
      </c>
    </row>
    <row r="28" spans="1:14" ht="10.5">
      <c r="A28">
        <f t="shared" si="8"/>
        <v>-44.74999999999999</v>
      </c>
      <c r="B28" s="18">
        <f aca="true" t="shared" si="15" ref="B28:D29">B18</f>
        <v>-0.7810348402674624</v>
      </c>
      <c r="C28" s="18">
        <f t="shared" si="15"/>
        <v>-0.7040147244559682</v>
      </c>
      <c r="D28" s="18">
        <f t="shared" si="15"/>
        <v>-0.7101853756232854</v>
      </c>
      <c r="E28" s="25">
        <f t="shared" si="12"/>
        <v>-0.7810348402674624</v>
      </c>
      <c r="F28" s="19" t="e">
        <f aca="true" t="shared" si="16" ref="F28:N29">macf(F18,8)</f>
        <v>#VALUE!</v>
      </c>
      <c r="G28" s="19" t="e">
        <f t="shared" si="16"/>
        <v>#VALUE!</v>
      </c>
      <c r="H28" s="19" t="e">
        <f t="shared" si="16"/>
        <v>#VALUE!</v>
      </c>
      <c r="I28" s="19" t="e">
        <f t="shared" si="16"/>
        <v>#VALUE!</v>
      </c>
      <c r="J28" s="19" t="e">
        <f t="shared" si="16"/>
        <v>#VALUE!</v>
      </c>
      <c r="K28" s="19" t="e">
        <f t="shared" si="16"/>
        <v>#VALUE!</v>
      </c>
      <c r="L28" s="19" t="e">
        <f t="shared" si="16"/>
        <v>#VALUE!</v>
      </c>
      <c r="M28" s="19" t="e">
        <f t="shared" si="16"/>
        <v>#VALUE!</v>
      </c>
      <c r="N28" s="19" t="e">
        <f t="shared" si="16"/>
        <v>#VALUE!</v>
      </c>
    </row>
    <row r="29" spans="1:14" ht="10.5">
      <c r="A29">
        <f t="shared" si="8"/>
        <v>-43.99999999999999</v>
      </c>
      <c r="B29" s="18">
        <f t="shared" si="15"/>
        <v>-0.767944870877505</v>
      </c>
      <c r="C29" s="18">
        <f t="shared" si="15"/>
        <v>-0.6946583704589973</v>
      </c>
      <c r="D29" s="18">
        <f t="shared" si="15"/>
        <v>-0.7193398003386512</v>
      </c>
      <c r="E29" s="25">
        <f t="shared" si="12"/>
        <v>-0.767944870877505</v>
      </c>
      <c r="F29" s="19" t="e">
        <f t="shared" si="16"/>
        <v>#VALUE!</v>
      </c>
      <c r="G29" s="19" t="e">
        <f t="shared" si="16"/>
        <v>#VALUE!</v>
      </c>
      <c r="H29" s="19" t="e">
        <f t="shared" si="16"/>
        <v>#VALUE!</v>
      </c>
      <c r="I29" s="19" t="e">
        <f t="shared" si="16"/>
        <v>#VALUE!</v>
      </c>
      <c r="J29" s="19" t="e">
        <f t="shared" si="16"/>
        <v>#VALUE!</v>
      </c>
      <c r="K29" s="19" t="e">
        <f t="shared" si="16"/>
        <v>#VALUE!</v>
      </c>
      <c r="L29" s="19" t="e">
        <f t="shared" si="16"/>
        <v>#VALUE!</v>
      </c>
      <c r="M29" s="19" t="e">
        <f t="shared" si="16"/>
        <v>#VALUE!</v>
      </c>
      <c r="N29" s="19" t="e">
        <f t="shared" si="16"/>
        <v>#VALUE!</v>
      </c>
    </row>
    <row r="30" spans="5:6" ht="10.5">
      <c r="E30" s="18" t="s">
        <v>197</v>
      </c>
      <c r="F30" s="18" t="e">
        <f>MIN(F21:N29)</f>
        <v>#VALUE!</v>
      </c>
    </row>
    <row r="31" ht="10.5">
      <c r="D31" s="18" t="s">
        <v>154</v>
      </c>
    </row>
    <row r="34" spans="2:6" ht="10.5">
      <c r="B34" s="17" t="s">
        <v>8</v>
      </c>
      <c r="C34" s="23" t="s">
        <v>148</v>
      </c>
      <c r="F34" s="22" t="e">
        <f>TrapS(C15,D15,K9,Nb,BXK,BYK,Na,AXK,AYK,AA,neq,exg,eyg)</f>
        <v>#VALUE!</v>
      </c>
    </row>
    <row r="35" spans="2:7" ht="10.5">
      <c r="B35" s="17" t="s">
        <v>200</v>
      </c>
      <c r="C35" t="e">
        <f>macf(C34,1)</f>
        <v>#VALUE!</v>
      </c>
      <c r="E35" s="18">
        <v>1</v>
      </c>
      <c r="F35" s="18" t="e">
        <f>macf(F$34,E35)</f>
        <v>#VALUE!</v>
      </c>
      <c r="G35" s="18" t="s">
        <v>167</v>
      </c>
    </row>
    <row r="36" spans="2:7" ht="10.5">
      <c r="B36" s="17" t="s">
        <v>201</v>
      </c>
      <c r="C36" t="e">
        <f>macf(C34,2)</f>
        <v>#VALUE!</v>
      </c>
      <c r="E36" s="18">
        <v>2</v>
      </c>
      <c r="F36" s="18" t="e">
        <f aca="true" t="shared" si="17" ref="F36:F57">macf(F$34,E36)</f>
        <v>#VALUE!</v>
      </c>
      <c r="G36" s="18" t="s">
        <v>192</v>
      </c>
    </row>
    <row r="37" spans="2:7" ht="10.5">
      <c r="B37" s="17" t="s">
        <v>202</v>
      </c>
      <c r="C37" t="e">
        <f>macf(C34,3)</f>
        <v>#VALUE!</v>
      </c>
      <c r="E37" s="18">
        <v>3</v>
      </c>
      <c r="F37" s="18" t="e">
        <f t="shared" si="17"/>
        <v>#VALUE!</v>
      </c>
      <c r="G37" s="18" t="s">
        <v>193</v>
      </c>
    </row>
    <row r="38" spans="2:7" ht="10.5">
      <c r="B38" s="17" t="s">
        <v>203</v>
      </c>
      <c r="C38" t="e">
        <f>macf(C34,4)</f>
        <v>#VALUE!</v>
      </c>
      <c r="E38" s="18">
        <v>4</v>
      </c>
      <c r="F38" s="18" t="e">
        <f t="shared" si="17"/>
        <v>#VALUE!</v>
      </c>
      <c r="G38" s="18" t="s">
        <v>242</v>
      </c>
    </row>
    <row r="39" spans="5:7" ht="10.5">
      <c r="E39" s="18">
        <v>5</v>
      </c>
      <c r="F39" s="18" t="e">
        <f t="shared" si="17"/>
        <v>#VALUE!</v>
      </c>
      <c r="G39" s="18" t="s">
        <v>243</v>
      </c>
    </row>
    <row r="40" spans="2:8" ht="10.5">
      <c r="B40" s="18" t="s">
        <v>149</v>
      </c>
      <c r="C40" s="22" t="e">
        <f>Pnono(Calculs!V20,Calculs!AI25,Calculs!AI24,BXK,BYK,Nb,Na,AXK,AYK,AA,neq,exg,eyg,P,Np)</f>
        <v>#NAME?</v>
      </c>
      <c r="E40" s="18">
        <v>6</v>
      </c>
      <c r="F40" s="18" t="e">
        <f t="shared" si="17"/>
        <v>#VALUE!</v>
      </c>
      <c r="G40" s="18" t="s">
        <v>165</v>
      </c>
      <c r="H40" s="1" t="e">
        <f>SQRT(F40^2+F41^2)</f>
        <v>#VALUE!</v>
      </c>
    </row>
    <row r="41" spans="2:7" ht="10.5">
      <c r="B41" s="18" t="s">
        <v>241</v>
      </c>
      <c r="C41" t="e">
        <f>macf(C40,1)</f>
        <v>#VALUE!</v>
      </c>
      <c r="E41" s="18">
        <v>7</v>
      </c>
      <c r="F41" s="18" t="e">
        <f t="shared" si="17"/>
        <v>#VALUE!</v>
      </c>
      <c r="G41" s="18" t="s">
        <v>166</v>
      </c>
    </row>
    <row r="42" spans="2:7" ht="10.5">
      <c r="B42" s="18" t="s">
        <v>184</v>
      </c>
      <c r="C42" t="e">
        <f>macf(C40,2)</f>
        <v>#VALUE!</v>
      </c>
      <c r="E42" s="18">
        <v>8</v>
      </c>
      <c r="F42" s="1" t="e">
        <f t="shared" si="17"/>
        <v>#VALUE!</v>
      </c>
      <c r="G42" s="18" t="s">
        <v>203</v>
      </c>
    </row>
    <row r="43" spans="2:7" ht="10.5">
      <c r="B43" s="18" t="s">
        <v>203</v>
      </c>
      <c r="C43" t="e">
        <f>macf(C40,3)</f>
        <v>#VALUE!</v>
      </c>
      <c r="E43" s="18">
        <v>9</v>
      </c>
      <c r="F43" s="18" t="e">
        <f t="shared" si="17"/>
        <v>#VALUE!</v>
      </c>
      <c r="G43" s="18" t="s">
        <v>184</v>
      </c>
    </row>
    <row r="44" spans="2:7" ht="10.5">
      <c r="B44" s="18" t="s">
        <v>150</v>
      </c>
      <c r="C44" s="18" t="e">
        <f>macf(C40,4)</f>
        <v>#VALUE!</v>
      </c>
      <c r="E44" s="18">
        <v>10</v>
      </c>
      <c r="F44" s="18" t="e">
        <f t="shared" si="17"/>
        <v>#VALUE!</v>
      </c>
      <c r="G44" s="18" t="s">
        <v>240</v>
      </c>
    </row>
    <row r="45" spans="2:7" ht="10.5">
      <c r="B45" s="18" t="s">
        <v>151</v>
      </c>
      <c r="C45" s="18" t="e">
        <f>macf(C40,5)</f>
        <v>#VALUE!</v>
      </c>
      <c r="E45" s="18">
        <v>11</v>
      </c>
      <c r="F45" s="18" t="e">
        <f t="shared" si="17"/>
        <v>#VALUE!</v>
      </c>
      <c r="G45" s="18" t="s">
        <v>179</v>
      </c>
    </row>
    <row r="46" spans="2:7" ht="10.5">
      <c r="B46" s="18" t="s">
        <v>182</v>
      </c>
      <c r="C46" s="18" t="e">
        <f>macf(C40,6)</f>
        <v>#VALUE!</v>
      </c>
      <c r="E46" s="18">
        <v>12</v>
      </c>
      <c r="F46" s="18" t="e">
        <f t="shared" si="17"/>
        <v>#VALUE!</v>
      </c>
      <c r="G46" s="18" t="s">
        <v>180</v>
      </c>
    </row>
    <row r="47" spans="5:7" ht="10.5">
      <c r="E47" s="18">
        <v>13</v>
      </c>
      <c r="F47" s="18" t="e">
        <f t="shared" si="17"/>
        <v>#VALUE!</v>
      </c>
      <c r="G47" s="18" t="s">
        <v>4</v>
      </c>
    </row>
    <row r="48" spans="5:7" ht="10.5">
      <c r="E48" s="18">
        <v>14</v>
      </c>
      <c r="F48" s="18" t="e">
        <f t="shared" si="17"/>
        <v>#VALUE!</v>
      </c>
      <c r="G48" s="18" t="s">
        <v>5</v>
      </c>
    </row>
    <row r="49" spans="5:7" ht="10.5">
      <c r="E49" s="18">
        <v>15</v>
      </c>
      <c r="F49" s="18" t="e">
        <f t="shared" si="17"/>
        <v>#VALUE!</v>
      </c>
      <c r="G49" s="18" t="s">
        <v>6</v>
      </c>
    </row>
    <row r="50" spans="5:7" ht="10.5">
      <c r="E50" s="18">
        <v>16</v>
      </c>
      <c r="F50" s="18" t="e">
        <f t="shared" si="17"/>
        <v>#VALUE!</v>
      </c>
      <c r="G50" s="18" t="s">
        <v>7</v>
      </c>
    </row>
    <row r="51" spans="5:7" ht="10.5">
      <c r="E51" s="18">
        <v>17</v>
      </c>
      <c r="F51" s="18" t="e">
        <f t="shared" si="17"/>
        <v>#VALUE!</v>
      </c>
      <c r="G51" s="18" t="s">
        <v>242</v>
      </c>
    </row>
    <row r="52" spans="5:7" ht="10.5">
      <c r="E52" s="18">
        <v>18</v>
      </c>
      <c r="F52" s="18" t="e">
        <f t="shared" si="17"/>
        <v>#VALUE!</v>
      </c>
      <c r="G52" s="18" t="s">
        <v>243</v>
      </c>
    </row>
    <row r="53" spans="5:7" ht="10.5">
      <c r="E53" s="18">
        <v>19</v>
      </c>
      <c r="F53" s="18" t="e">
        <f t="shared" si="17"/>
        <v>#VALUE!</v>
      </c>
      <c r="G53" s="18" t="s">
        <v>4</v>
      </c>
    </row>
    <row r="54" spans="5:7" ht="10.5">
      <c r="E54" s="18">
        <v>20</v>
      </c>
      <c r="F54" s="18" t="e">
        <f t="shared" si="17"/>
        <v>#VALUE!</v>
      </c>
      <c r="G54" s="18" t="s">
        <v>5</v>
      </c>
    </row>
    <row r="55" spans="5:7" ht="10.5">
      <c r="E55" s="18">
        <v>21</v>
      </c>
      <c r="F55" s="18" t="e">
        <f t="shared" si="17"/>
        <v>#VALUE!</v>
      </c>
      <c r="G55" s="18" t="s">
        <v>35</v>
      </c>
    </row>
    <row r="56" spans="5:8" ht="10.5">
      <c r="E56" s="18">
        <v>22</v>
      </c>
      <c r="F56" s="18" t="e">
        <f t="shared" si="17"/>
        <v>#VALUE!</v>
      </c>
      <c r="G56" s="18" t="s">
        <v>163</v>
      </c>
      <c r="H56" s="1" t="e">
        <f>SQRT(F56^2+F57^2)</f>
        <v>#VALUE!</v>
      </c>
    </row>
    <row r="57" spans="5:7" ht="10.5">
      <c r="E57" s="18">
        <v>23</v>
      </c>
      <c r="F57" s="18" t="e">
        <f t="shared" si="17"/>
        <v>#VALUE!</v>
      </c>
      <c r="G57" s="18" t="s">
        <v>164</v>
      </c>
    </row>
    <row r="64" spans="6:14" ht="10.5">
      <c r="F64" s="18">
        <v>-0.6027408248485336</v>
      </c>
      <c r="G64" s="18">
        <v>-0.4520556186364002</v>
      </c>
      <c r="H64" s="18">
        <v>-0.3013704124242668</v>
      </c>
      <c r="I64" s="18">
        <v>-0.15068520621213344</v>
      </c>
      <c r="J64" s="18">
        <v>0</v>
      </c>
      <c r="K64">
        <v>0.15068520621213344</v>
      </c>
      <c r="L64">
        <v>0.30137041242426676</v>
      </c>
      <c r="M64">
        <v>0.4520556186364003</v>
      </c>
      <c r="N64">
        <v>0.6027408248485336</v>
      </c>
    </row>
    <row r="65" spans="5:14" ht="10.5">
      <c r="E65" s="18">
        <v>-1.239805246684337</v>
      </c>
      <c r="F65" s="18">
        <v>0.32550103</v>
      </c>
      <c r="G65" s="18">
        <v>0.30436431</v>
      </c>
      <c r="H65" s="18">
        <v>0.27380307</v>
      </c>
      <c r="I65" s="18">
        <v>0.2405315</v>
      </c>
      <c r="J65" s="18">
        <v>0.1988551</v>
      </c>
      <c r="K65">
        <v>0.21574871</v>
      </c>
      <c r="L65">
        <v>2.4326426999999997</v>
      </c>
      <c r="M65">
        <v>0.61858872</v>
      </c>
      <c r="N65">
        <v>0</v>
      </c>
    </row>
    <row r="66" spans="5:14" ht="10.5">
      <c r="E66" s="18">
        <v>-1.1219955221747198</v>
      </c>
      <c r="F66" s="18">
        <v>0.31173365000000003</v>
      </c>
      <c r="G66" s="18">
        <v>0.28586141</v>
      </c>
      <c r="H66" s="18">
        <v>0.24840985000000002</v>
      </c>
      <c r="I66" s="18">
        <v>0.20192714</v>
      </c>
      <c r="J66" s="18">
        <v>0.1439946</v>
      </c>
      <c r="K66">
        <v>0.18775861</v>
      </c>
      <c r="L66">
        <v>11.254844</v>
      </c>
      <c r="M66">
        <v>0.6722350500000001</v>
      </c>
      <c r="N66">
        <v>0</v>
      </c>
    </row>
    <row r="67" spans="5:14" ht="10.5">
      <c r="E67" s="18">
        <v>-1.0041857976651025</v>
      </c>
      <c r="F67" s="18">
        <v>0.29930235</v>
      </c>
      <c r="G67" s="18">
        <v>0.26942659</v>
      </c>
      <c r="H67" s="18">
        <v>0.22617276</v>
      </c>
      <c r="I67" s="18">
        <v>0.16813069</v>
      </c>
      <c r="J67" s="18">
        <v>0.09477355900000001</v>
      </c>
      <c r="K67">
        <v>0.16923787</v>
      </c>
      <c r="L67">
        <v>5.4260616</v>
      </c>
      <c r="M67">
        <v>0.73785729</v>
      </c>
      <c r="N67">
        <v>0</v>
      </c>
    </row>
    <row r="68" spans="5:14" ht="10.5">
      <c r="E68" s="18">
        <v>-0.8863760731554853</v>
      </c>
      <c r="F68" s="18">
        <v>0.28845002000000003</v>
      </c>
      <c r="G68" s="18">
        <v>0.25532725</v>
      </c>
      <c r="H68" s="18">
        <v>0.2076191</v>
      </c>
      <c r="I68" s="18">
        <v>0.14169615</v>
      </c>
      <c r="J68" s="18">
        <v>0.054543400000000006</v>
      </c>
      <c r="K68">
        <v>0.15522062</v>
      </c>
      <c r="L68">
        <v>2.4434864999999997</v>
      </c>
      <c r="M68">
        <v>0.80973113</v>
      </c>
      <c r="N68">
        <v>0</v>
      </c>
    </row>
    <row r="69" spans="5:14" ht="10.5">
      <c r="E69" s="18">
        <v>-0.768566348645868</v>
      </c>
      <c r="F69" s="18">
        <v>0.31594641</v>
      </c>
      <c r="G69" s="18">
        <v>0.31739606</v>
      </c>
      <c r="H69" s="18">
        <v>0.31892032</v>
      </c>
      <c r="I69" s="18">
        <v>0.32052168000000003</v>
      </c>
      <c r="J69" s="18">
        <v>0.32220278</v>
      </c>
      <c r="K69">
        <v>0.3239664</v>
      </c>
      <c r="L69">
        <v>0.32581555</v>
      </c>
      <c r="M69">
        <v>0.32775332</v>
      </c>
      <c r="N69">
        <v>0</v>
      </c>
    </row>
    <row r="70" spans="5:14" ht="10.5">
      <c r="E70" s="18">
        <v>-0.6507566241362508</v>
      </c>
      <c r="F70" s="18">
        <v>0.27461857</v>
      </c>
      <c r="G70" s="18">
        <v>0.27542981</v>
      </c>
      <c r="H70" s="18">
        <v>0.27869974000000003</v>
      </c>
      <c r="I70" s="18">
        <v>0.28495452</v>
      </c>
      <c r="J70" s="18">
        <v>0.29495548</v>
      </c>
      <c r="K70">
        <v>0.30988121</v>
      </c>
      <c r="L70">
        <v>0.33169137</v>
      </c>
      <c r="M70">
        <v>0.36390616000000003</v>
      </c>
      <c r="N70">
        <v>0.41343484</v>
      </c>
    </row>
    <row r="71" spans="5:14" ht="10.5">
      <c r="E71" s="18">
        <v>-0.5329468996266336</v>
      </c>
      <c r="F71" s="18">
        <v>0.26450372</v>
      </c>
      <c r="G71" s="18">
        <v>0.25652529</v>
      </c>
      <c r="H71" s="18">
        <v>0.2533646</v>
      </c>
      <c r="I71" s="18">
        <v>0.25677251</v>
      </c>
      <c r="J71" s="18">
        <v>0.26962957</v>
      </c>
      <c r="K71">
        <v>0.29791626</v>
      </c>
      <c r="L71">
        <v>0.35737773</v>
      </c>
      <c r="M71">
        <v>0.50437072</v>
      </c>
      <c r="N71">
        <v>1.1008616</v>
      </c>
    </row>
    <row r="72" spans="5:14" ht="10.5">
      <c r="E72" s="18">
        <v>-0.4151371751170163</v>
      </c>
      <c r="F72" s="18">
        <v>0.26635079</v>
      </c>
      <c r="G72" s="18">
        <v>0.24897735000000001</v>
      </c>
      <c r="H72" s="18">
        <v>0.23703752</v>
      </c>
      <c r="I72" s="18">
        <v>0.23417661</v>
      </c>
      <c r="J72" s="18">
        <v>0.24588201</v>
      </c>
      <c r="K72">
        <v>0.28641023</v>
      </c>
      <c r="L72">
        <v>0.41518894</v>
      </c>
      <c r="M72">
        <v>1.2667521</v>
      </c>
      <c r="N72">
        <v>0</v>
      </c>
    </row>
    <row r="73" spans="5:14" ht="10.5">
      <c r="E73" s="18">
        <v>-0.29732745060739907</v>
      </c>
      <c r="F73" s="18">
        <v>0.27079575</v>
      </c>
      <c r="G73" s="18">
        <v>0.24599844</v>
      </c>
      <c r="H73" s="18">
        <v>0.2255773</v>
      </c>
      <c r="I73" s="18">
        <v>0.21538885</v>
      </c>
      <c r="J73" s="18">
        <v>0.22331377</v>
      </c>
      <c r="K73">
        <v>0.27373802</v>
      </c>
      <c r="L73">
        <v>0.52473027</v>
      </c>
      <c r="M73">
        <v>3.6408769999999997</v>
      </c>
      <c r="N73"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F386"/>
  <sheetViews>
    <sheetView tabSelected="1" zoomScalePageLayoutView="0" workbookViewId="0" topLeftCell="A1">
      <selection activeCell="A1" sqref="A1"/>
    </sheetView>
  </sheetViews>
  <sheetFormatPr defaultColWidth="11.421875" defaultRowHeight="12"/>
  <cols>
    <col min="1" max="1" width="4.140625" style="36" customWidth="1"/>
    <col min="2" max="2" width="8.140625" style="35" customWidth="1"/>
    <col min="3" max="3" width="10.140625" style="35" customWidth="1"/>
    <col min="4" max="4" width="8.28125" style="36" customWidth="1"/>
    <col min="5" max="5" width="8.8515625" style="36" customWidth="1"/>
    <col min="6" max="6" width="8.7109375" style="36" customWidth="1"/>
    <col min="7" max="7" width="8.140625" style="36" customWidth="1"/>
    <col min="8" max="8" width="9.00390625" style="35" customWidth="1"/>
    <col min="9" max="10" width="8.140625" style="36" customWidth="1"/>
    <col min="11" max="11" width="10.7109375" style="36" customWidth="1"/>
    <col min="12" max="12" width="9.7109375" style="36" customWidth="1"/>
    <col min="13" max="13" width="9.140625" style="36" customWidth="1"/>
    <col min="14" max="14" width="13.140625" style="36" customWidth="1"/>
    <col min="15" max="15" width="57.7109375" style="36" customWidth="1"/>
    <col min="16" max="16" width="57.7109375" style="144" customWidth="1"/>
    <col min="17" max="19" width="9.00390625" style="144" customWidth="1"/>
    <col min="20" max="20" width="9.00390625" style="137" customWidth="1"/>
    <col min="21" max="21" width="9.28125" style="137" customWidth="1"/>
    <col min="22" max="25" width="9.00390625" style="137" customWidth="1"/>
    <col min="26" max="27" width="9.00390625" style="225" customWidth="1"/>
    <col min="28" max="28" width="9.00390625" style="137" customWidth="1"/>
    <col min="29" max="56" width="9.00390625" style="144" customWidth="1"/>
    <col min="57" max="16384" width="12.00390625" style="36" customWidth="1"/>
  </cols>
  <sheetData>
    <row r="1" spans="1:49" ht="13.5">
      <c r="A1" s="34" t="s">
        <v>68</v>
      </c>
      <c r="H1" s="36"/>
      <c r="N1" s="51"/>
      <c r="O1" s="51"/>
      <c r="P1" s="143"/>
      <c r="W1" s="137" t="str">
        <f>"PATIENTEZ ! Temps de calcul "</f>
        <v>PATIENTEZ ! Temps de calcul </v>
      </c>
      <c r="Y1" s="253"/>
      <c r="Z1" s="223" t="s">
        <v>249</v>
      </c>
      <c r="AA1" s="224">
        <f>IF(ELU=1,fck/sc,I19)</f>
        <v>2.3333333333333335</v>
      </c>
      <c r="AB1" s="253"/>
      <c r="AC1" s="151"/>
      <c r="AT1" s="147"/>
      <c r="AU1" s="147"/>
      <c r="AV1" s="148" t="s">
        <v>102</v>
      </c>
      <c r="AW1" s="149" t="s">
        <v>104</v>
      </c>
    </row>
    <row r="2" spans="2:52" ht="13.5">
      <c r="B2" s="34" t="s">
        <v>67</v>
      </c>
      <c r="H2" s="36"/>
      <c r="N2" s="337"/>
      <c r="O2" s="142"/>
      <c r="P2" s="150"/>
      <c r="W2" s="137" t="str">
        <f>"long"</f>
        <v>long</v>
      </c>
      <c r="Y2" s="253"/>
      <c r="Z2" s="223" t="s">
        <v>250</v>
      </c>
      <c r="AA2" s="286">
        <f>IF(ELU=1,fyk/ss,I20)</f>
        <v>1.6666666666666667</v>
      </c>
      <c r="AB2" s="253"/>
      <c r="AC2" s="151"/>
      <c r="AR2" s="151"/>
      <c r="AT2" s="147"/>
      <c r="AU2" s="147"/>
      <c r="AV2" s="152" t="s">
        <v>108</v>
      </c>
      <c r="AW2" s="153" t="s">
        <v>103</v>
      </c>
      <c r="AY2" s="147"/>
      <c r="AZ2" s="147"/>
    </row>
    <row r="3" spans="2:49" ht="12">
      <c r="B3" s="44" t="s">
        <v>181</v>
      </c>
      <c r="H3" s="36"/>
      <c r="N3" s="285" t="s">
        <v>141</v>
      </c>
      <c r="O3" s="51"/>
      <c r="P3" s="143"/>
      <c r="S3" s="147" t="s">
        <v>66</v>
      </c>
      <c r="T3" s="225">
        <f>IF(C20=0,T4,C20)</f>
        <v>15</v>
      </c>
      <c r="W3" s="137" t="str">
        <f>"très long"</f>
        <v>très long</v>
      </c>
      <c r="Y3" s="253"/>
      <c r="Z3" s="253"/>
      <c r="AA3" s="253"/>
      <c r="AB3" s="253"/>
      <c r="AC3" s="151"/>
      <c r="AU3" s="147"/>
      <c r="AV3" s="154">
        <f>BA22-T20</f>
        <v>-3.114458516110844</v>
      </c>
      <c r="AW3" s="155">
        <f>AV3/180</f>
        <v>-0.01730254731172691</v>
      </c>
    </row>
    <row r="4" spans="8:53" ht="12">
      <c r="H4" s="36"/>
      <c r="N4" s="285" t="s">
        <v>269</v>
      </c>
      <c r="O4" s="285"/>
      <c r="P4" s="156"/>
      <c r="S4" s="147" t="s">
        <v>137</v>
      </c>
      <c r="T4" s="225">
        <f>200/AE17</f>
        <v>5.882352941176471</v>
      </c>
      <c r="W4" s="137">
        <f>Np^3*(Nb+Na)</f>
        <v>3888</v>
      </c>
      <c r="Y4" s="253"/>
      <c r="Z4" s="253"/>
      <c r="AA4" s="253"/>
      <c r="AB4" s="253"/>
      <c r="AC4" s="151"/>
      <c r="AS4" s="157">
        <v>1</v>
      </c>
      <c r="AT4" s="158"/>
      <c r="AU4" s="157">
        <v>2</v>
      </c>
      <c r="AV4" s="159"/>
      <c r="AW4" s="160">
        <v>3</v>
      </c>
      <c r="AX4" s="158"/>
      <c r="AY4" s="157">
        <v>4</v>
      </c>
      <c r="AZ4" s="158"/>
      <c r="BA4" s="161" t="s">
        <v>91</v>
      </c>
    </row>
    <row r="5" spans="2:54" ht="12">
      <c r="B5" s="47" t="s">
        <v>254</v>
      </c>
      <c r="J5" s="41"/>
      <c r="K5" s="41"/>
      <c r="L5" s="348">
        <f ca="1">NOW()</f>
        <v>41561.2018181713</v>
      </c>
      <c r="M5" s="348"/>
      <c r="N5" s="285" t="s">
        <v>270</v>
      </c>
      <c r="O5" s="285"/>
      <c r="Y5" s="253"/>
      <c r="Z5" s="253"/>
      <c r="AA5" s="253"/>
      <c r="AB5" s="253"/>
      <c r="AC5" s="151"/>
      <c r="AS5" s="162" t="s">
        <v>80</v>
      </c>
      <c r="AT5" s="163"/>
      <c r="AU5" s="162" t="s">
        <v>81</v>
      </c>
      <c r="AV5" s="163"/>
      <c r="AW5" s="162" t="s">
        <v>248</v>
      </c>
      <c r="AX5" s="163"/>
      <c r="AY5" s="162" t="s">
        <v>96</v>
      </c>
      <c r="AZ5" s="163"/>
      <c r="BA5" s="161"/>
      <c r="BB5" s="164"/>
    </row>
    <row r="6" spans="9:54" ht="12.75" thickBot="1">
      <c r="I6" s="123">
        <f>IF(W4&gt;10000,PAT1,"")&amp;IF(W4&gt;200000,PAT3,IF(W4&gt;10000,PAT2,""))</f>
      </c>
      <c r="J6" s="41"/>
      <c r="K6" s="41"/>
      <c r="L6" s="41"/>
      <c r="M6" s="41"/>
      <c r="N6" s="285" t="s">
        <v>271</v>
      </c>
      <c r="O6" s="285"/>
      <c r="Q6" s="165" t="s">
        <v>273</v>
      </c>
      <c r="AS6" s="147"/>
      <c r="AT6" s="147"/>
      <c r="AU6" s="148" t="s">
        <v>89</v>
      </c>
      <c r="AV6" s="312" t="str">
        <f>IF(AT20=-1,PTo(V20,D36,D37,Nb,BXK,BYK,Na,AXK,AYK,AA,neq,exg,eyg,P,Np,typ,fck,gc,ecc12,ecu,kc,nc,eud,fyk,gs,ks,euk,eso,ELU),0)</f>
        <v> 330157210 0 701711870 0-121538050 0-137645923 1-981175903 0-193116149 0 250425722 0 113411910-8 821286592 0 962958720 1-300000000 3 356031918 0-856883364 0-739454158 0000000000000000000000000000000000000000000000000000000000000000000000000000000000000000000000000000000000000000000000000000000000000000000000000000000000000000000000000000000000000000000000000</v>
      </c>
      <c r="AW6" s="147" t="s">
        <v>90</v>
      </c>
      <c r="AX6" s="145">
        <f>IF(P=0,0,IF(ELU=2,ECo(V20,Nb,BXK,BYK,Na,AXK,AYK,AA,Np,ecc12,ecu,exg,eyg,typ,fck,gc,kc,nc,eud,fyk,gs,ks,euk,eso,P),0))</f>
        <v>0</v>
      </c>
      <c r="AY6" s="148" t="s">
        <v>89</v>
      </c>
      <c r="AZ6" s="251">
        <f>IF(AX20=-3,PTo(V20,D36,D37,Nb,BXK,BYK,Na,AXK,AYK,AA,neq,exg,eyg,P,Np,typ,fck,gc,ecc12,ecu,kc,nc,eud,fyk,gs,ks,euk,eso,ELU),0)</f>
        <v>0</v>
      </c>
      <c r="BA6" s="165" t="s">
        <v>131</v>
      </c>
      <c r="BB6" s="166"/>
    </row>
    <row r="7" spans="2:54" ht="14.25" thickTop="1">
      <c r="B7" s="49" t="s">
        <v>222</v>
      </c>
      <c r="C7" s="4">
        <v>6</v>
      </c>
      <c r="D7" s="37" t="s">
        <v>284</v>
      </c>
      <c r="K7" s="41"/>
      <c r="L7" s="41"/>
      <c r="M7" s="41"/>
      <c r="N7" s="285" t="s">
        <v>272</v>
      </c>
      <c r="O7" s="285"/>
      <c r="Q7" s="167" t="s">
        <v>274</v>
      </c>
      <c r="X7" s="226" t="s">
        <v>152</v>
      </c>
      <c r="Y7" s="227"/>
      <c r="Z7" s="228" t="s">
        <v>153</v>
      </c>
      <c r="AA7" s="137"/>
      <c r="AD7" s="151"/>
      <c r="AE7" s="151"/>
      <c r="AS7" s="147"/>
      <c r="AT7" s="147"/>
      <c r="AU7" s="166" t="s">
        <v>167</v>
      </c>
      <c r="AV7" s="153">
        <f>IF(AV$6=0,0,macf(AV$6,1))</f>
        <v>0.33015721000000003</v>
      </c>
      <c r="AW7" s="147" t="s">
        <v>167</v>
      </c>
      <c r="AX7" s="147">
        <f>IF(AX$6=0,0,macf(AX$6,1))</f>
        <v>0</v>
      </c>
      <c r="AY7" s="166" t="s">
        <v>167</v>
      </c>
      <c r="AZ7" s="153">
        <f>IF(AZ$6=0,0,macf(AZ$6,1))</f>
        <v>0</v>
      </c>
      <c r="BA7" s="167">
        <f>CHOOSE(cas,AT7,AV7,AX7,AZ7)</f>
        <v>0.33015721000000003</v>
      </c>
      <c r="BB7" s="166"/>
    </row>
    <row r="8" spans="2:54" ht="13.5">
      <c r="B8" s="49" t="s">
        <v>223</v>
      </c>
      <c r="C8" s="5">
        <v>4</v>
      </c>
      <c r="D8" s="37" t="s">
        <v>140</v>
      </c>
      <c r="I8" s="122">
        <f>IF(exg&lt;0,AVA,IF(eyg&lt;0,AVA,""))</f>
      </c>
      <c r="L8" s="338"/>
      <c r="M8" s="339"/>
      <c r="N8" s="340"/>
      <c r="Q8" s="167" t="s">
        <v>275</v>
      </c>
      <c r="V8" s="229" t="s">
        <v>38</v>
      </c>
      <c r="X8" s="230" t="s">
        <v>48</v>
      </c>
      <c r="Y8" s="132"/>
      <c r="Z8" s="231" t="s">
        <v>50</v>
      </c>
      <c r="AA8" s="137"/>
      <c r="AB8" s="225"/>
      <c r="AD8" s="151"/>
      <c r="AE8" s="151"/>
      <c r="AS8" s="147">
        <f>macf(AV$6,1)</f>
        <v>0.33015721000000003</v>
      </c>
      <c r="AT8" s="147"/>
      <c r="AU8" s="166" t="s">
        <v>192</v>
      </c>
      <c r="AV8" s="153">
        <f>IF(AV$6=0,0,macf(AV$6,2))</f>
        <v>0.70171187</v>
      </c>
      <c r="AW8" s="166" t="s">
        <v>192</v>
      </c>
      <c r="AX8" s="153">
        <f>IF(AX$6=0,0,macf(AX$6,2))</f>
        <v>0</v>
      </c>
      <c r="AY8" s="166" t="s">
        <v>192</v>
      </c>
      <c r="AZ8" s="153">
        <f>IF(AZ$6=0,0,macf(AZ$6,2))</f>
        <v>0</v>
      </c>
      <c r="BA8" s="167">
        <f>CHOOSE(cas,AT8,AV8,AX8,AZ8)</f>
        <v>0.70171187</v>
      </c>
      <c r="BB8" s="166"/>
    </row>
    <row r="9" spans="2:54" ht="14.25" customHeight="1" thickBot="1">
      <c r="B9" s="49" t="s">
        <v>224</v>
      </c>
      <c r="C9" s="6">
        <v>14</v>
      </c>
      <c r="D9" s="37" t="s">
        <v>139</v>
      </c>
      <c r="I9" s="123">
        <f>IF(exg&lt;0,AVB,IF(eyg&lt;0,AVB,""))</f>
      </c>
      <c r="K9" s="313"/>
      <c r="L9" s="341"/>
      <c r="M9" s="342"/>
      <c r="N9" s="343"/>
      <c r="Q9" s="179" t="s">
        <v>247</v>
      </c>
      <c r="T9" s="134" t="s">
        <v>155</v>
      </c>
      <c r="U9" s="232" t="str">
        <f>geom(Nb,Na,BX,BY,AA,AX,AY,0,neq)</f>
        <v> 500000000 0 600000000 0000000000000 144000000 0 100000000-1000000000000 144000000 0 100000000-1 120000000 1000000000000000000000000000000000000</v>
      </c>
      <c r="V9" s="232" t="str">
        <f>geom(Nb,Na,BX,BY,AA,AX,AY,1,neq)</f>
        <v> 500000000 0 600056505 0-611392664-3 160530909 0 112358240 0 294524311-4 160530927 0 112358222 0 130308350 1000000000000000000000000000000000000</v>
      </c>
      <c r="W9" s="232" t="str">
        <f>geom(Nb,Na,BX,BY,AA,AX,AY,2,neq)</f>
        <v> 500000000 0 600714285 0-705802845-2 165308606-1 123582401-1 294524311-4 165310685-1 123580322-1 103083508 0000000000000000000000000000000000000</v>
      </c>
      <c r="X9" s="231" t="s">
        <v>46</v>
      </c>
      <c r="Y9" s="233" t="s">
        <v>47</v>
      </c>
      <c r="Z9" s="234" t="s">
        <v>49</v>
      </c>
      <c r="AA9" s="137"/>
      <c r="AB9" s="225"/>
      <c r="AD9" s="148" t="s">
        <v>119</v>
      </c>
      <c r="AE9" s="149">
        <f>fck+8</f>
        <v>43</v>
      </c>
      <c r="AI9" s="151"/>
      <c r="AJ9" s="151"/>
      <c r="AK9" s="151"/>
      <c r="AL9" s="151"/>
      <c r="AM9" s="151"/>
      <c r="AN9" s="151"/>
      <c r="AQ9" s="151"/>
      <c r="AS9" s="147">
        <f>macf(AV$6,2)</f>
        <v>0.70171187</v>
      </c>
      <c r="AT9" s="147"/>
      <c r="AU9" s="166" t="s">
        <v>193</v>
      </c>
      <c r="AV9" s="153">
        <f>IF(AV$6=0,0,macf(AV$6,3))</f>
        <v>-0.12153805000000001</v>
      </c>
      <c r="AW9" s="166" t="s">
        <v>193</v>
      </c>
      <c r="AX9" s="153">
        <f>IF(AX$6=0,0,macf(AX$6,3))</f>
        <v>0</v>
      </c>
      <c r="AY9" s="166" t="s">
        <v>193</v>
      </c>
      <c r="AZ9" s="153">
        <f>IF(AZ$6=0,0,macf(AZ$6,3))</f>
        <v>0</v>
      </c>
      <c r="BA9" s="167">
        <f>CHOOSE(cas,AT9,AV9,AX9,AZ9)</f>
        <v>-0.12153805000000001</v>
      </c>
      <c r="BB9" s="166"/>
    </row>
    <row r="10" spans="2:54" ht="13.5" customHeight="1" thickBot="1" thickTop="1">
      <c r="B10" s="49"/>
      <c r="C10" s="36"/>
      <c r="K10" s="313"/>
      <c r="L10" s="341"/>
      <c r="M10" s="342"/>
      <c r="N10" s="343"/>
      <c r="W10" s="225" t="s">
        <v>33</v>
      </c>
      <c r="X10" s="235">
        <f>macf(U9,1)</f>
        <v>0.5</v>
      </c>
      <c r="Y10" s="236">
        <f>macf(V9,1)</f>
        <v>0.5</v>
      </c>
      <c r="Z10" s="236">
        <f>macf(W9,1)</f>
        <v>0.5</v>
      </c>
      <c r="AA10" s="225" t="s">
        <v>220</v>
      </c>
      <c r="AB10" s="237" t="s">
        <v>157</v>
      </c>
      <c r="AD10" s="166" t="s">
        <v>120</v>
      </c>
      <c r="AE10" s="153">
        <f>VLOOKUP(fck,tabfck,5)</f>
        <v>2.25</v>
      </c>
      <c r="AI10" s="151"/>
      <c r="AJ10" s="151"/>
      <c r="AK10" s="151"/>
      <c r="AL10" s="151"/>
      <c r="AM10" s="151"/>
      <c r="AN10" s="151"/>
      <c r="AQ10" s="151"/>
      <c r="AS10" s="147">
        <f>macf(AV$6,3)</f>
        <v>-0.12153805000000001</v>
      </c>
      <c r="AT10" s="147"/>
      <c r="AU10" s="166" t="s">
        <v>241</v>
      </c>
      <c r="AV10" s="153">
        <f>IF(AV$6=0,0,macf(AV$6,4))</f>
        <v>-1.3764592</v>
      </c>
      <c r="AW10" s="147" t="s">
        <v>241</v>
      </c>
      <c r="AX10" s="147">
        <f>IF(AX$6=0,0,macf(AX$6,4))</f>
        <v>0</v>
      </c>
      <c r="AY10" s="166" t="s">
        <v>241</v>
      </c>
      <c r="AZ10" s="153">
        <f>IF(AZ$6=0,0,macf(AZ$6,4))</f>
        <v>0</v>
      </c>
      <c r="BA10" s="169">
        <f aca="true" t="shared" si="0" ref="BA10:BA17">CHOOSE(cas,AT10,AV10,AX10,AZ10)</f>
        <v>-1.3764592</v>
      </c>
      <c r="BB10" s="147"/>
    </row>
    <row r="11" spans="2:54" ht="14.25" customHeight="1" thickTop="1">
      <c r="B11" s="49" t="s">
        <v>110</v>
      </c>
      <c r="C11" s="4">
        <v>0.402</v>
      </c>
      <c r="D11" s="36" t="s">
        <v>74</v>
      </c>
      <c r="L11" s="341"/>
      <c r="M11" s="342"/>
      <c r="N11" s="343"/>
      <c r="U11" s="131" t="s">
        <v>209</v>
      </c>
      <c r="V11" s="132"/>
      <c r="W11" s="225" t="s">
        <v>34</v>
      </c>
      <c r="X11" s="238">
        <f>macf(U9,2)</f>
        <v>0.6</v>
      </c>
      <c r="Y11" s="239">
        <f>macf(V9,2)</f>
        <v>0.6000565</v>
      </c>
      <c r="Z11" s="239">
        <f>macf(W9,2)</f>
        <v>0.60071428</v>
      </c>
      <c r="AA11" s="225" t="s">
        <v>220</v>
      </c>
      <c r="AB11" s="225" t="s">
        <v>53</v>
      </c>
      <c r="AD11" s="166" t="s">
        <v>121</v>
      </c>
      <c r="AE11" s="153">
        <f>VLOOKUP(fck,tabfck,4)</f>
        <v>3.5</v>
      </c>
      <c r="AI11" s="170" t="s">
        <v>282</v>
      </c>
      <c r="AJ11" s="171"/>
      <c r="AK11" s="171"/>
      <c r="AL11" s="171"/>
      <c r="AM11" s="171"/>
      <c r="AN11" s="168"/>
      <c r="AP11" s="172"/>
      <c r="AQ11" s="151"/>
      <c r="AS11" s="147">
        <f>macf(AV$6,4)</f>
        <v>-1.3764592</v>
      </c>
      <c r="AT11" s="147"/>
      <c r="AU11" s="166" t="s">
        <v>200</v>
      </c>
      <c r="AV11" s="153">
        <f>IF(AV$6=0,0,macf(AV$6,5))</f>
        <v>-0.9811759</v>
      </c>
      <c r="AW11" s="147" t="s">
        <v>200</v>
      </c>
      <c r="AX11" s="147">
        <f>IF(AX$6=0,0,macf(AX$6,5))</f>
        <v>0</v>
      </c>
      <c r="AY11" s="166" t="s">
        <v>200</v>
      </c>
      <c r="AZ11" s="153">
        <f>IF(AZ$6=0,0,macf(AZ$6,5))</f>
        <v>0</v>
      </c>
      <c r="BA11" s="169">
        <f t="shared" si="0"/>
        <v>-0.9811759</v>
      </c>
      <c r="BB11" s="147"/>
    </row>
    <row r="12" spans="2:54" ht="11.25" customHeight="1">
      <c r="B12" s="49" t="str">
        <f>IF(P=0,"My","ex")</f>
        <v>ex</v>
      </c>
      <c r="C12" s="5">
        <v>2.76</v>
      </c>
      <c r="D12" s="36" t="s">
        <v>307</v>
      </c>
      <c r="L12" s="341"/>
      <c r="M12" s="342"/>
      <c r="N12" s="343"/>
      <c r="U12" s="240" t="s">
        <v>173</v>
      </c>
      <c r="V12" s="135">
        <f>X21/Y18</f>
        <v>8.085923753509089</v>
      </c>
      <c r="W12" s="225" t="s">
        <v>45</v>
      </c>
      <c r="X12" s="241">
        <f>macf(U9,3)/PI()*180</f>
        <v>0</v>
      </c>
      <c r="Y12" s="242">
        <f>macf(V9,3)/PI()*180</f>
        <v>-0.035030219043276904</v>
      </c>
      <c r="Z12" s="242">
        <f>macf(W9,3)/PI()*180</f>
        <v>-0.40439523900347324</v>
      </c>
      <c r="AA12" s="225" t="s">
        <v>156</v>
      </c>
      <c r="AB12" s="237" t="s">
        <v>54</v>
      </c>
      <c r="AD12" s="166" t="s">
        <v>122</v>
      </c>
      <c r="AE12" s="153">
        <f>VLOOKUP(fck,tabfck,7)</f>
        <v>2</v>
      </c>
      <c r="AI12" s="164" t="s">
        <v>280</v>
      </c>
      <c r="AN12" s="173"/>
      <c r="AQ12" s="151"/>
      <c r="AS12" s="147"/>
      <c r="AT12" s="147"/>
      <c r="AU12" s="166" t="s">
        <v>201</v>
      </c>
      <c r="AV12" s="153">
        <f>IF(AV$6=0,0,macf(AV$6,6))</f>
        <v>-0.19311614</v>
      </c>
      <c r="AW12" s="147" t="s">
        <v>201</v>
      </c>
      <c r="AX12" s="147">
        <f>IF(AX$6=0,0,macf(AX$6,6))</f>
        <v>0</v>
      </c>
      <c r="AY12" s="166" t="s">
        <v>201</v>
      </c>
      <c r="AZ12" s="153">
        <f>IF(AZ$6=0,0,macf(AZ$6,6))</f>
        <v>0</v>
      </c>
      <c r="BA12" s="169">
        <f t="shared" si="0"/>
        <v>-0.19311614</v>
      </c>
      <c r="BB12" s="147"/>
    </row>
    <row r="13" spans="2:54" ht="13.5">
      <c r="B13" s="49" t="str">
        <f>IF(P=0,"Mx","ey")</f>
        <v>ey</v>
      </c>
      <c r="C13" s="5">
        <v>1.42</v>
      </c>
      <c r="D13" s="36" t="s">
        <v>308</v>
      </c>
      <c r="L13" s="341"/>
      <c r="M13" s="342"/>
      <c r="N13" s="343"/>
      <c r="U13" s="240" t="s">
        <v>174</v>
      </c>
      <c r="V13" s="135">
        <f>X20/Y17</f>
        <v>2.05343618537787</v>
      </c>
      <c r="W13" s="225" t="s">
        <v>10</v>
      </c>
      <c r="X13" s="243">
        <f>macf(U9,9)</f>
        <v>1.2</v>
      </c>
      <c r="Y13" s="244">
        <f>macf(V9,9)</f>
        <v>1.3030834999999998</v>
      </c>
      <c r="Z13" s="244">
        <f>macf(W9,9)/neq</f>
        <v>0.006872233333333334</v>
      </c>
      <c r="AA13" s="225" t="s">
        <v>233</v>
      </c>
      <c r="AB13" s="137" t="s">
        <v>36</v>
      </c>
      <c r="AD13" s="166" t="s">
        <v>123</v>
      </c>
      <c r="AE13" s="153">
        <f>VLOOKUP(fck,tabfck,6)</f>
        <v>3.5</v>
      </c>
      <c r="AI13" s="164" t="s">
        <v>281</v>
      </c>
      <c r="AN13" s="173"/>
      <c r="AQ13" s="151"/>
      <c r="AS13" s="147"/>
      <c r="AT13" s="147"/>
      <c r="AU13" s="166" t="s">
        <v>202</v>
      </c>
      <c r="AV13" s="153">
        <f>IF(AV$6=0,0,macf(AV$6,7))</f>
        <v>0.25042572</v>
      </c>
      <c r="AW13" s="147" t="s">
        <v>202</v>
      </c>
      <c r="AX13" s="147">
        <f>IF(AX$6=0,0,macf(AX$6,7))</f>
        <v>0</v>
      </c>
      <c r="AY13" s="166" t="s">
        <v>202</v>
      </c>
      <c r="AZ13" s="153">
        <f>IF(AZ$6=0,0,macf(AZ$6,7))</f>
        <v>0</v>
      </c>
      <c r="BA13" s="169">
        <f t="shared" si="0"/>
        <v>0.25042572</v>
      </c>
      <c r="BB13" s="147" t="s">
        <v>259</v>
      </c>
    </row>
    <row r="14" spans="2:54" ht="13.5">
      <c r="B14" s="51" t="s">
        <v>23</v>
      </c>
      <c r="C14" s="5">
        <v>1</v>
      </c>
      <c r="D14" s="36" t="s">
        <v>52</v>
      </c>
      <c r="G14" s="123" t="str">
        <f>"Calculs en "&amp;IF(ELU=2,"ELU","ELS")</f>
        <v>Calculs en ELS</v>
      </c>
      <c r="L14" s="341"/>
      <c r="M14" s="342"/>
      <c r="N14" s="343"/>
      <c r="U14" s="240" t="s">
        <v>175</v>
      </c>
      <c r="V14" s="135">
        <f>P/Y13</f>
        <v>0.3084990332545843</v>
      </c>
      <c r="W14" s="225" t="s">
        <v>11</v>
      </c>
      <c r="X14" s="243">
        <f>macf(U9,4)</f>
        <v>0.14400000000000002</v>
      </c>
      <c r="Y14" s="244">
        <f>ABS(macf(V9,4))</f>
        <v>0.1605309</v>
      </c>
      <c r="Z14" s="244">
        <f>ABS(macf(W9,4))/neq</f>
        <v>0.0011020573333333334</v>
      </c>
      <c r="AA14" s="225" t="s">
        <v>73</v>
      </c>
      <c r="AB14" s="137" t="s">
        <v>12</v>
      </c>
      <c r="AD14" s="166" t="s">
        <v>128</v>
      </c>
      <c r="AE14" s="153">
        <f>VLOOKUP(fck,tabfck,8)</f>
        <v>2</v>
      </c>
      <c r="AI14" s="164" t="s">
        <v>111</v>
      </c>
      <c r="AN14" s="173"/>
      <c r="AQ14" s="151"/>
      <c r="AS14" s="147"/>
      <c r="AT14" s="147"/>
      <c r="AU14" s="146" t="str">
        <f>IF(P=0,"Dw","De")</f>
        <v>De</v>
      </c>
      <c r="AV14" s="153">
        <f>IF(AV$6=0,0,macf(AV$6,8))</f>
        <v>1.1341191E-09</v>
      </c>
      <c r="AW14" s="174" t="s">
        <v>255</v>
      </c>
      <c r="AX14" s="147">
        <f>IF(AX$6=0,0,macf(AX$6,8))</f>
        <v>0</v>
      </c>
      <c r="AY14" s="146" t="str">
        <f>IF(P=0,"Dw","De")</f>
        <v>De</v>
      </c>
      <c r="AZ14" s="153">
        <f>IF(AZ$6=0,0,macf(AZ$6,8))</f>
        <v>0</v>
      </c>
      <c r="BA14" s="169">
        <f t="shared" si="0"/>
        <v>1.1341191E-09</v>
      </c>
      <c r="BB14" s="161">
        <f>IF(P=0,BA14,BA14*1000)</f>
        <v>1.1341191E-06</v>
      </c>
    </row>
    <row r="15" spans="2:53" ht="14.25" thickBot="1">
      <c r="B15" s="49" t="s">
        <v>225</v>
      </c>
      <c r="C15" s="5">
        <v>35</v>
      </c>
      <c r="D15" s="36" t="s">
        <v>22</v>
      </c>
      <c r="L15" s="344"/>
      <c r="M15" s="345"/>
      <c r="N15" s="346"/>
      <c r="O15" s="41"/>
      <c r="P15" s="151"/>
      <c r="U15" s="240" t="s">
        <v>182</v>
      </c>
      <c r="V15" s="135">
        <f>IF(V13=0,0,-V12/V13)</f>
        <v>-3.9377526368179447</v>
      </c>
      <c r="W15" s="225" t="s">
        <v>13</v>
      </c>
      <c r="X15" s="243">
        <f>macf(U9,5)</f>
        <v>0.01</v>
      </c>
      <c r="Y15" s="244">
        <f>ABS(macf(V9,5))</f>
        <v>0.11235824</v>
      </c>
      <c r="Z15" s="244">
        <f>ABS(macf(W9,5))/neq</f>
        <v>0.0008238826666666667</v>
      </c>
      <c r="AA15" s="225" t="s">
        <v>73</v>
      </c>
      <c r="AB15" s="137" t="s">
        <v>14</v>
      </c>
      <c r="AD15" s="166" t="s">
        <v>124</v>
      </c>
      <c r="AE15" s="153">
        <f>0.9*AE19</f>
        <v>45</v>
      </c>
      <c r="AI15" s="164" t="s">
        <v>112</v>
      </c>
      <c r="AN15" s="173"/>
      <c r="AQ15" s="151"/>
      <c r="AS15" s="147"/>
      <c r="AT15" s="147"/>
      <c r="AU15" s="166" t="s">
        <v>82</v>
      </c>
      <c r="AV15" s="153">
        <f>IF(AV$6=0,0,macf(AV$6,9))</f>
        <v>0.82128659</v>
      </c>
      <c r="AW15" s="147" t="s">
        <v>82</v>
      </c>
      <c r="AX15" s="147">
        <f>IF(AX$6=0,0,macf(AX$6,9))</f>
        <v>0</v>
      </c>
      <c r="AY15" s="166" t="s">
        <v>82</v>
      </c>
      <c r="AZ15" s="153">
        <f>IF(AZ$6=0,0,macf(AZ$6,9))</f>
        <v>0</v>
      </c>
      <c r="BA15" s="169">
        <f t="shared" si="0"/>
        <v>0.82128659</v>
      </c>
    </row>
    <row r="16" spans="2:53" ht="15" thickBot="1" thickTop="1">
      <c r="B16" s="49" t="s">
        <v>226</v>
      </c>
      <c r="C16" s="6">
        <v>500</v>
      </c>
      <c r="D16" s="36" t="s">
        <v>22</v>
      </c>
      <c r="M16" s="41"/>
      <c r="N16" s="41"/>
      <c r="O16" s="41"/>
      <c r="P16" s="151"/>
      <c r="Q16" s="287">
        <v>6</v>
      </c>
      <c r="R16" s="147">
        <v>6</v>
      </c>
      <c r="U16" s="240" t="s">
        <v>183</v>
      </c>
      <c r="V16" s="135">
        <f>IF(V13=0,0,-V14/V13)</f>
        <v>-0.15023551033694033</v>
      </c>
      <c r="W16" s="225" t="s">
        <v>15</v>
      </c>
      <c r="X16" s="243">
        <f>macf(U9,6)</f>
        <v>0</v>
      </c>
      <c r="Y16" s="244">
        <f>ABS(macf(V9,6))</f>
        <v>2.9452431E-05</v>
      </c>
      <c r="Z16" s="244">
        <f>ABS(macf(W9,6))/neq</f>
        <v>1.9634954E-06</v>
      </c>
      <c r="AA16" s="225" t="s">
        <v>73</v>
      </c>
      <c r="AB16" s="137" t="s">
        <v>16</v>
      </c>
      <c r="AD16" s="166" t="s">
        <v>125</v>
      </c>
      <c r="AE16" s="153">
        <f>IF(I22=1,1,-1)*fyk/200/gs</f>
        <v>1.5</v>
      </c>
      <c r="AI16" s="164" t="s">
        <v>113</v>
      </c>
      <c r="AN16" s="173"/>
      <c r="AQ16" s="151"/>
      <c r="AS16" s="147"/>
      <c r="AT16" s="147"/>
      <c r="AU16" s="166" t="str">
        <f>IF(ELU=1,"scsup","epshaut")</f>
        <v>scsup</v>
      </c>
      <c r="AV16" s="153">
        <f>IF(AV$6=0,0,macf(AV$6,10))</f>
        <v>9.6295872</v>
      </c>
      <c r="AW16" s="147" t="s">
        <v>100</v>
      </c>
      <c r="AX16" s="147">
        <f>IF(AX$6=0,0,macf(AX$6,10))</f>
        <v>0</v>
      </c>
      <c r="AY16" s="166" t="s">
        <v>134</v>
      </c>
      <c r="AZ16" s="153">
        <f>IF(AZ$6=0,0,macf(AZ$6,10))</f>
        <v>0</v>
      </c>
      <c r="BA16" s="169">
        <f t="shared" si="0"/>
        <v>9.6295872</v>
      </c>
    </row>
    <row r="17" spans="1:53" ht="15" thickBot="1" thickTop="1">
      <c r="A17" s="53"/>
      <c r="B17" s="54" t="s">
        <v>252</v>
      </c>
      <c r="C17" s="55"/>
      <c r="D17" s="55"/>
      <c r="E17" s="55"/>
      <c r="F17" s="55"/>
      <c r="G17" s="56"/>
      <c r="H17" s="57" t="s">
        <v>253</v>
      </c>
      <c r="I17" s="58"/>
      <c r="J17" s="59"/>
      <c r="K17" s="59"/>
      <c r="L17" s="59"/>
      <c r="M17" s="60"/>
      <c r="Q17" s="288">
        <v>4</v>
      </c>
      <c r="R17" s="147">
        <v>12</v>
      </c>
      <c r="U17" s="136" t="s">
        <v>210</v>
      </c>
      <c r="V17" s="244"/>
      <c r="W17" s="225" t="s">
        <v>17</v>
      </c>
      <c r="X17" s="243">
        <f>macf(U9,7)</f>
        <v>0.14400000000000002</v>
      </c>
      <c r="Y17" s="244">
        <f>ABS(macf(V9,7))</f>
        <v>0.16053092</v>
      </c>
      <c r="Z17" s="244">
        <f>ABS(macf(W9,7))/neq</f>
        <v>0.0011020711999999999</v>
      </c>
      <c r="AA17" s="225" t="s">
        <v>73</v>
      </c>
      <c r="AB17" s="137" t="s">
        <v>18</v>
      </c>
      <c r="AD17" s="166" t="s">
        <v>126</v>
      </c>
      <c r="AE17" s="153">
        <f>VLOOKUP(fck,tabfck,3)</f>
        <v>34</v>
      </c>
      <c r="AI17" s="175" t="s">
        <v>114</v>
      </c>
      <c r="AJ17" s="176"/>
      <c r="AK17" s="176"/>
      <c r="AL17" s="176"/>
      <c r="AM17" s="176"/>
      <c r="AN17" s="177"/>
      <c r="AQ17" s="151"/>
      <c r="AS17" s="147"/>
      <c r="AT17" s="147"/>
      <c r="AU17" s="166" t="str">
        <f>IF(ELU=1,"ssinf","epsbas")</f>
        <v>ssinf</v>
      </c>
      <c r="AV17" s="153">
        <f>IF(AV$6=0,0,macf(AV$6,11))</f>
        <v>-300</v>
      </c>
      <c r="AW17" s="147" t="s">
        <v>101</v>
      </c>
      <c r="AX17" s="147">
        <f>IF(AX$6=0,0,macf(AX$6,11))</f>
        <v>0</v>
      </c>
      <c r="AY17" s="166" t="s">
        <v>135</v>
      </c>
      <c r="AZ17" s="153">
        <f>IF(AZ$6=0,0,macf(AZ$6,11))</f>
        <v>0</v>
      </c>
      <c r="BA17" s="169">
        <f t="shared" si="0"/>
        <v>-300</v>
      </c>
    </row>
    <row r="18" spans="1:53" ht="15" thickBot="1" thickTop="1">
      <c r="A18" s="53"/>
      <c r="B18" s="117" t="s">
        <v>158</v>
      </c>
      <c r="C18" s="4">
        <v>15</v>
      </c>
      <c r="D18" s="61" t="str">
        <f>IF(ELU=2,"","contrainte limite béton en ELS (MPa)")</f>
        <v>contrainte limite béton en ELS (MPa)</v>
      </c>
      <c r="E18" s="61"/>
      <c r="F18" s="61"/>
      <c r="G18" s="62"/>
      <c r="H18" s="63" t="str">
        <f>IF(ELU=1,"fcd ELS","Type")</f>
        <v>fcd ELS</v>
      </c>
      <c r="I18" s="4">
        <v>1</v>
      </c>
      <c r="J18" s="311">
        <f>IF(ELU=1,"","Courbe béton (1=PR, 2=EC2 Sargin eq. 3.14)")</f>
      </c>
      <c r="K18" s="64"/>
      <c r="L18" s="64"/>
      <c r="M18" s="65"/>
      <c r="Q18" s="289">
        <v>4</v>
      </c>
      <c r="R18" s="147">
        <v>18</v>
      </c>
      <c r="U18" s="240" t="s">
        <v>212</v>
      </c>
      <c r="V18" s="135">
        <f>V16</f>
        <v>-0.15023551033694033</v>
      </c>
      <c r="W18" s="225" t="s">
        <v>19</v>
      </c>
      <c r="X18" s="243">
        <f>macf(U9,8)</f>
        <v>0.01</v>
      </c>
      <c r="Y18" s="244">
        <f>ABS(macf(V9,8))</f>
        <v>0.11235822000000001</v>
      </c>
      <c r="Z18" s="244">
        <f>ABS(macf(W9,8))/neq</f>
        <v>0.0008238688000000001</v>
      </c>
      <c r="AA18" s="225" t="s">
        <v>73</v>
      </c>
      <c r="AB18" s="137" t="s">
        <v>20</v>
      </c>
      <c r="AD18" s="166" t="s">
        <v>127</v>
      </c>
      <c r="AE18" s="153">
        <f>IF(I21="A",1.05,IF(I21="B",1.08,IF(I21="D",1,1.15)))</f>
        <v>1.08</v>
      </c>
      <c r="AQ18" s="151"/>
      <c r="AS18" s="147"/>
      <c r="AT18" s="147"/>
      <c r="AU18" s="166" t="s">
        <v>245</v>
      </c>
      <c r="AV18" s="153">
        <f>IF(AV$6=0,0,macf(AV$6,12))</f>
        <v>0.35603191</v>
      </c>
      <c r="AW18" s="147" t="s">
        <v>132</v>
      </c>
      <c r="AX18" s="147">
        <f>IF(AX$6=0,0,macf(AX$6,12))</f>
        <v>0</v>
      </c>
      <c r="AY18" s="166" t="s">
        <v>132</v>
      </c>
      <c r="AZ18" s="153">
        <f>IF(AZ$6=0,0,macf(AZ$6,12))</f>
        <v>0</v>
      </c>
      <c r="BA18" s="169">
        <f>CHOOSE(cas,AT18,AV18,AX18,AZ18)</f>
        <v>0.35603191</v>
      </c>
    </row>
    <row r="19" spans="1:53" ht="15" thickBot="1" thickTop="1">
      <c r="A19" s="53"/>
      <c r="B19" s="117" t="s">
        <v>263</v>
      </c>
      <c r="C19" s="5">
        <v>300</v>
      </c>
      <c r="D19" s="61" t="str">
        <f>IF(ELU=2,"","contrainte limite acier en ELS (MPa)")</f>
        <v>contrainte limite acier en ELS (MPa)</v>
      </c>
      <c r="E19" s="61"/>
      <c r="F19" s="61"/>
      <c r="G19" s="62"/>
      <c r="H19" s="66" t="s">
        <v>249</v>
      </c>
      <c r="I19" s="5">
        <v>1.5</v>
      </c>
      <c r="J19" s="64">
        <f>IF(ELU=1,"","Coeff. béton")</f>
      </c>
      <c r="K19" s="64"/>
      <c r="L19" s="64"/>
      <c r="M19" s="67"/>
      <c r="U19" s="245" t="s">
        <v>211</v>
      </c>
      <c r="V19" s="138">
        <f>IF(V12=0,0,-V14/V12)</f>
        <v>-0.038152602307275456</v>
      </c>
      <c r="W19" s="246" t="s">
        <v>21</v>
      </c>
      <c r="X19" s="247"/>
      <c r="Y19" s="248">
        <f>SUM(L44:L75)</f>
        <v>68.72233929727672</v>
      </c>
      <c r="Z19" s="248">
        <f>Y19</f>
        <v>68.72233929727672</v>
      </c>
      <c r="AA19" s="225" t="s">
        <v>234</v>
      </c>
      <c r="AB19" s="137" t="s">
        <v>37</v>
      </c>
      <c r="AD19" s="166" t="s">
        <v>117</v>
      </c>
      <c r="AE19" s="153">
        <f>IF(I21="A",25,IF(I21="B",50,75))</f>
        <v>50</v>
      </c>
      <c r="AK19" s="144" t="s">
        <v>283</v>
      </c>
      <c r="AQ19" s="151"/>
      <c r="AS19" s="147"/>
      <c r="AT19" s="147"/>
      <c r="AU19" s="166" t="s">
        <v>246</v>
      </c>
      <c r="AV19" s="153">
        <f>IF(AV$6=0,0,macf(AV$6,13))</f>
        <v>-0.85688336</v>
      </c>
      <c r="AW19" s="147" t="s">
        <v>133</v>
      </c>
      <c r="AX19" s="147">
        <f>IF(AX$6=0,0,macf(AX$6,13))</f>
        <v>0</v>
      </c>
      <c r="AY19" s="166" t="s">
        <v>133</v>
      </c>
      <c r="AZ19" s="153">
        <f>IF(AZ$6=0,0,macf(AZ$6,13))</f>
        <v>0</v>
      </c>
      <c r="BA19" s="169">
        <f>CHOOSE(cas,AT19,AV19,AX19,-AZ19)</f>
        <v>-0.85688336</v>
      </c>
    </row>
    <row r="20" spans="1:54" ht="15" thickBot="1" thickTop="1">
      <c r="A20" s="53"/>
      <c r="B20" s="263" t="s">
        <v>268</v>
      </c>
      <c r="C20" s="121">
        <v>15</v>
      </c>
      <c r="D20" s="61" t="str">
        <f>IF(ELU=2,"","coefficient d'équivalence ")</f>
        <v>coefficient d'équivalence </v>
      </c>
      <c r="E20" s="61"/>
      <c r="F20" s="61"/>
      <c r="G20" s="62"/>
      <c r="H20" s="66" t="s">
        <v>250</v>
      </c>
      <c r="I20" s="5">
        <v>1.15</v>
      </c>
      <c r="J20" s="64">
        <f>IF(ELU=1,"","Coeff. acier")</f>
      </c>
      <c r="K20" s="64"/>
      <c r="L20" s="64"/>
      <c r="M20" s="67"/>
      <c r="Q20" s="287">
        <v>0.92</v>
      </c>
      <c r="R20" s="147">
        <v>2.327</v>
      </c>
      <c r="T20" s="249">
        <f>V20*180/PI()</f>
        <v>-75.75084431584284</v>
      </c>
      <c r="U20" s="250" t="s">
        <v>92</v>
      </c>
      <c r="V20" s="251">
        <f>IF(ABS(V12)&gt;ABS(V13),-(PI()/2-ATAN(V13/V12)),-ATAN(V12/V13))</f>
        <v>-1.322101644477089</v>
      </c>
      <c r="W20" s="225" t="s">
        <v>192</v>
      </c>
      <c r="X20" s="243">
        <f>D36</f>
        <v>0.32964</v>
      </c>
      <c r="Y20" s="135"/>
      <c r="Z20" s="135"/>
      <c r="AA20" s="225" t="s">
        <v>194</v>
      </c>
      <c r="AB20" s="237" t="s">
        <v>195</v>
      </c>
      <c r="AD20" s="166" t="s">
        <v>129</v>
      </c>
      <c r="AE20" s="153">
        <f>IF(typ=1,ecc2,ecc1)</f>
        <v>2</v>
      </c>
      <c r="AK20" s="144" t="s">
        <v>191</v>
      </c>
      <c r="AR20" s="172"/>
      <c r="AS20" s="147" t="s">
        <v>85</v>
      </c>
      <c r="AT20" s="147">
        <f>IF(ELU=1,IF(AS58&gt;=0,1,-1),0)</f>
        <v>-1</v>
      </c>
      <c r="AU20" s="166" t="s">
        <v>86</v>
      </c>
      <c r="AV20" s="153">
        <f>IF(AT20=-1,2,0)</f>
        <v>2</v>
      </c>
      <c r="AW20" s="147" t="s">
        <v>83</v>
      </c>
      <c r="AX20" s="147">
        <f>IF(ELU=1,0,IF(AX23&lt;=0,-3,IF(P=0,-3,3)))</f>
        <v>0</v>
      </c>
      <c r="AY20" s="166" t="s">
        <v>87</v>
      </c>
      <c r="AZ20" s="153">
        <f>IF(AX20=-3,4,0)</f>
        <v>0</v>
      </c>
      <c r="BA20" s="167">
        <f>MAX(AS20:AZ20)</f>
        <v>2</v>
      </c>
      <c r="BB20" s="147"/>
    </row>
    <row r="21" spans="1:53" ht="12.75" thickTop="1">
      <c r="A21" s="53"/>
      <c r="B21" s="68"/>
      <c r="C21" s="69"/>
      <c r="D21" s="70" t="str">
        <f>IF(ELU=2,"","      (par exemple "&amp;ROUND(T4,2)&amp;" ou 15)")</f>
        <v>      (par exemple 5.88 ou 15)</v>
      </c>
      <c r="E21" s="69"/>
      <c r="F21" s="69"/>
      <c r="G21" s="71"/>
      <c r="H21" s="72">
        <f>IF(ELU=1,"","classe")</f>
      </c>
      <c r="I21" s="5" t="s">
        <v>274</v>
      </c>
      <c r="J21" s="73">
        <f>IF(ELU=1,"","Classe acier (A, B, C ou à palier D)")</f>
      </c>
      <c r="K21" s="73"/>
      <c r="L21" s="73"/>
      <c r="M21" s="74"/>
      <c r="Q21" s="288">
        <f>0*0.67</f>
        <v>0</v>
      </c>
      <c r="R21" s="147">
        <v>0.52</v>
      </c>
      <c r="U21" s="240" t="s">
        <v>93</v>
      </c>
      <c r="V21" s="244">
        <f>SIN(V20)</f>
        <v>-0.9692345369389395</v>
      </c>
      <c r="W21" s="225" t="s">
        <v>193</v>
      </c>
      <c r="X21" s="252">
        <f>D37</f>
        <v>0.90852</v>
      </c>
      <c r="Y21" s="138"/>
      <c r="Z21" s="138"/>
      <c r="AA21" s="225" t="s">
        <v>194</v>
      </c>
      <c r="AB21" s="237" t="s">
        <v>196</v>
      </c>
      <c r="AD21" s="166" t="s">
        <v>130</v>
      </c>
      <c r="AE21" s="153">
        <f>IF(typ=1,ecu2,ecu1)</f>
        <v>3.5</v>
      </c>
      <c r="AK21" s="144" t="s">
        <v>168</v>
      </c>
      <c r="AS21" s="147"/>
      <c r="AT21" s="147"/>
      <c r="AU21" s="166" t="s">
        <v>244</v>
      </c>
      <c r="AV21" s="153">
        <f>IF(AV$6=0,0,macf(AV$6,14))</f>
        <v>-0.73945415</v>
      </c>
      <c r="AW21" s="147" t="s">
        <v>84</v>
      </c>
      <c r="AX21" s="147">
        <f>ecc12</f>
        <v>2</v>
      </c>
      <c r="AY21" s="166" t="str">
        <f>AU21</f>
        <v>d acier</v>
      </c>
      <c r="AZ21" s="153">
        <f>IF(AZ$6=0,0,macf(AZ$6,14))</f>
        <v>0</v>
      </c>
      <c r="BA21" s="169">
        <f>CHOOSE(cas,AT21,-AV21,AX21,-AZ21)</f>
        <v>0.73945415</v>
      </c>
    </row>
    <row r="22" spans="2:53" ht="12.75" thickBot="1">
      <c r="B22" s="51"/>
      <c r="C22" s="126"/>
      <c r="D22" s="124"/>
      <c r="E22" s="125"/>
      <c r="G22" s="35"/>
      <c r="I22" s="6">
        <v>1</v>
      </c>
      <c r="J22" s="316" t="s">
        <v>309</v>
      </c>
      <c r="N22" s="41"/>
      <c r="O22" s="41"/>
      <c r="P22" s="151"/>
      <c r="Q22" s="288">
        <f>0.55+0*1.05</f>
        <v>0.55</v>
      </c>
      <c r="R22" s="147">
        <v>0.786</v>
      </c>
      <c r="U22" s="240" t="s">
        <v>94</v>
      </c>
      <c r="V22" s="244">
        <f>IF(ABS(COS(V20))&lt;0.0000001,0,COS(V20))</f>
        <v>0.2461390103270092</v>
      </c>
      <c r="W22" s="137" t="s">
        <v>288</v>
      </c>
      <c r="X22" s="137">
        <f>macf(U9,3)</f>
        <v>0</v>
      </c>
      <c r="Z22" s="137"/>
      <c r="AA22" s="137"/>
      <c r="AB22" s="225"/>
      <c r="AD22" s="178" t="s">
        <v>118</v>
      </c>
      <c r="AE22" s="180">
        <f>VLOOKUP(fck,tabfck,9)</f>
        <v>4.462500000000001</v>
      </c>
      <c r="AK22" s="143" t="s">
        <v>241</v>
      </c>
      <c r="AL22" s="144">
        <f>BA10</f>
        <v>-1.3764592</v>
      </c>
      <c r="AQ22" s="144" t="s">
        <v>258</v>
      </c>
      <c r="AS22" s="147"/>
      <c r="AT22" s="147"/>
      <c r="AU22" s="147" t="s">
        <v>99</v>
      </c>
      <c r="AV22" s="181">
        <f>AV10*180/PI()</f>
        <v>-78.86530283195368</v>
      </c>
      <c r="AW22" s="147" t="s">
        <v>99</v>
      </c>
      <c r="AX22" s="147">
        <f>AX10*180/PI()</f>
        <v>0</v>
      </c>
      <c r="AY22" s="147" t="s">
        <v>99</v>
      </c>
      <c r="AZ22" s="147">
        <f>AZ10*180/PI()</f>
        <v>0</v>
      </c>
      <c r="BA22" s="169">
        <f>CHOOSE(cas,AT22,AV22,AX22,AZ22)</f>
        <v>-78.86530283195368</v>
      </c>
    </row>
    <row r="23" spans="1:58" ht="12.75" thickTop="1">
      <c r="A23" s="75" t="s">
        <v>38</v>
      </c>
      <c r="B23" s="51"/>
      <c r="C23" s="76"/>
      <c r="G23" s="35"/>
      <c r="N23" s="41"/>
      <c r="O23" s="41"/>
      <c r="P23" s="151"/>
      <c r="Q23" s="288">
        <v>2</v>
      </c>
      <c r="R23" s="147">
        <v>2</v>
      </c>
      <c r="U23" s="240" t="s">
        <v>184</v>
      </c>
      <c r="V23" s="135">
        <f>V14/SQRT(V12^2+V13^2)</f>
        <v>0.03697881983030764</v>
      </c>
      <c r="W23" s="253"/>
      <c r="X23" s="253"/>
      <c r="Y23" s="253"/>
      <c r="Z23" s="253"/>
      <c r="AA23" s="253"/>
      <c r="AB23" s="253"/>
      <c r="AH23" s="151"/>
      <c r="AI23" s="151"/>
      <c r="AK23" s="143" t="s">
        <v>239</v>
      </c>
      <c r="AL23" s="182">
        <f>AL22*180/PI()</f>
        <v>-78.86530283195368</v>
      </c>
      <c r="AQ23" s="162" t="s">
        <v>2</v>
      </c>
      <c r="AR23" s="163"/>
      <c r="AS23" s="183" t="s">
        <v>3</v>
      </c>
      <c r="AT23" s="184"/>
      <c r="AU23" s="178"/>
      <c r="AV23" s="180"/>
      <c r="AW23" s="185" t="s">
        <v>98</v>
      </c>
      <c r="AX23" s="185">
        <f>IF(P=0,-1,IF(AX$6=0,0,macf(AX$6,19)))</f>
        <v>0</v>
      </c>
      <c r="AY23" s="178"/>
      <c r="AZ23" s="153"/>
      <c r="BA23" s="186" t="s">
        <v>95</v>
      </c>
      <c r="BB23" s="163"/>
      <c r="BC23" s="151"/>
      <c r="BD23" s="151"/>
      <c r="BE23" s="41"/>
      <c r="BF23" s="41"/>
    </row>
    <row r="24" spans="2:58" ht="12">
      <c r="B24" s="51"/>
      <c r="C24" s="76"/>
      <c r="G24" s="35"/>
      <c r="N24" s="41"/>
      <c r="O24" s="41"/>
      <c r="P24" s="151"/>
      <c r="Q24" s="288">
        <f>25</f>
        <v>25</v>
      </c>
      <c r="R24" s="147">
        <v>25</v>
      </c>
      <c r="U24" s="240" t="s">
        <v>173</v>
      </c>
      <c r="V24" s="135">
        <f>sint</f>
        <v>-0.9692345369389395</v>
      </c>
      <c r="W24" s="253"/>
      <c r="X24" s="253"/>
      <c r="Y24" s="253"/>
      <c r="Z24" s="253"/>
      <c r="AA24" s="253"/>
      <c r="AB24" s="253"/>
      <c r="AH24" s="151"/>
      <c r="AI24" s="151"/>
      <c r="AK24" s="143" t="s">
        <v>202</v>
      </c>
      <c r="AL24" s="144">
        <f>BA13</f>
        <v>0.25042572</v>
      </c>
      <c r="AQ24" s="187" t="s">
        <v>198</v>
      </c>
      <c r="AR24" s="161" t="s">
        <v>199</v>
      </c>
      <c r="AS24" s="178" t="s">
        <v>198</v>
      </c>
      <c r="AT24" s="179" t="s">
        <v>199</v>
      </c>
      <c r="AU24" s="187" t="s">
        <v>198</v>
      </c>
      <c r="AV24" s="161" t="s">
        <v>199</v>
      </c>
      <c r="AW24" s="187" t="s">
        <v>198</v>
      </c>
      <c r="AX24" s="161" t="s">
        <v>199</v>
      </c>
      <c r="AY24" s="187" t="s">
        <v>198</v>
      </c>
      <c r="AZ24" s="161" t="s">
        <v>199</v>
      </c>
      <c r="BA24" s="148" t="s">
        <v>198</v>
      </c>
      <c r="BB24" s="161" t="s">
        <v>199</v>
      </c>
      <c r="BC24" s="151"/>
      <c r="BD24" s="151"/>
      <c r="BE24" s="41"/>
      <c r="BF24" s="41"/>
    </row>
    <row r="25" spans="1:58" ht="12">
      <c r="A25" s="78" t="s">
        <v>238</v>
      </c>
      <c r="B25" s="38"/>
      <c r="C25" s="38"/>
      <c r="G25" s="79"/>
      <c r="H25" s="128" t="s">
        <v>69</v>
      </c>
      <c r="I25" s="80" t="str">
        <f>"béton + "&amp;ROUND(neq,2)&amp;" x aciers"</f>
        <v>béton + 15 x aciers</v>
      </c>
      <c r="J25" s="95"/>
      <c r="K25" s="48"/>
      <c r="N25" s="41"/>
      <c r="O25" s="41"/>
      <c r="P25" s="151"/>
      <c r="Q25" s="288">
        <v>500</v>
      </c>
      <c r="R25" s="147">
        <v>500</v>
      </c>
      <c r="U25" s="240" t="s">
        <v>174</v>
      </c>
      <c r="V25" s="135">
        <f>-cost</f>
        <v>-0.2461390103270092</v>
      </c>
      <c r="W25" s="253"/>
      <c r="X25" s="253"/>
      <c r="Y25" s="253"/>
      <c r="Z25" s="253"/>
      <c r="AA25" s="253"/>
      <c r="AB25" s="253"/>
      <c r="AH25" s="151"/>
      <c r="AI25" s="151"/>
      <c r="AK25" s="143" t="s">
        <v>200</v>
      </c>
      <c r="AL25" s="144">
        <f>SIN(AL22)</f>
        <v>-0.9811758966476435</v>
      </c>
      <c r="AP25" s="144">
        <v>1</v>
      </c>
      <c r="AQ25" s="188">
        <f>IF(A44&gt;Nb,0,P/X$13+X$20/X$17*E44+X$21/X$18*D44)</f>
        <v>-46.4645</v>
      </c>
      <c r="AR25" s="189">
        <f>IF(A44&gt;Na,0,(P/X$13+X$20/X$17*K44+X$21/X$18*J44)*neq)</f>
        <v>-557.25575</v>
      </c>
      <c r="AS25" s="188">
        <f>IF(A44&gt;Nb,0,P/Y$13+X$20/Y$17*E44+X$21/Y$18*D44)</f>
        <v>-4.966524554726682</v>
      </c>
      <c r="AT25" s="188">
        <f>IF(A44&gt;Na,0,(P/Y$13+X$20/Y$17*K44+X$21/Y$18*J44)*neq)</f>
        <v>-59.2888284125698</v>
      </c>
      <c r="AU25" s="190">
        <f>IF(AV$20=2,sigcPT(ELU,D44,E44,AV$11,AV$12,AV$13,AV$18,AV$16,ecc12,typ,fck,gc,ecu,kc,nc),0)</f>
        <v>0</v>
      </c>
      <c r="AV25" s="191">
        <f>IF(AV$20=2,sigsPT(ELU,J44,K44,AV$11,AV$12,AV$13,AV$21,AV$17,fyk,gs,ks,euk,eso),0)</f>
        <v>-300</v>
      </c>
      <c r="AW25" s="190">
        <f>IF(AX$20=3,sigcEC($D44,$E44,AX$11,AX$12,AX$13,AX$19,AX$16,AX$21,typ,fck,gc,ecu,kc,nc),0)</f>
        <v>0</v>
      </c>
      <c r="AX25" s="191">
        <f aca="true" t="shared" si="1" ref="AX25:AX56">IF(AX$20=3,sigsEC($J44,$K44,AX$11,AX$12,AX$13,AX$19,AX$16,AX$21,fyk,gs,ks,euk,eso),0)</f>
        <v>0</v>
      </c>
      <c r="AY25" s="190">
        <f aca="true" t="shared" si="2" ref="AY25:AY56">IF(cas=4,sigcPT(ELU,D44,E44,AZ$11,AZ$12,AZ$13,AZ$18,AZ$16,ecc12,typ,fck,gc,ecu,kc,nc),0)</f>
        <v>0</v>
      </c>
      <c r="AZ25" s="191">
        <f aca="true" t="shared" si="3" ref="AZ25:AZ56">IF(cas=4,sigsPT(ELU,J44,K44,AZ$11,AZ$12,AZ$13,AZ$21,AZ$17,fyk,gs,ks,euk,eso),0)</f>
        <v>0</v>
      </c>
      <c r="BA25" s="192">
        <f aca="true" t="shared" si="4" ref="BA25:BA56">IF(A44&lt;Nb+1,CHOOSE(cas,AS25,AU25,AW25,AY25),"")</f>
        <v>0</v>
      </c>
      <c r="BB25" s="192">
        <f aca="true" t="shared" si="5" ref="BB25:BB56">IF(A44&lt;Na+1,CHOOSE(cas,AT25,AV25,AX25,AZ25),"")</f>
        <v>-300</v>
      </c>
      <c r="BC25" s="151"/>
      <c r="BD25" s="151"/>
      <c r="BE25" s="41"/>
      <c r="BF25" s="41"/>
    </row>
    <row r="26" spans="1:58" ht="13.5">
      <c r="A26" s="39" t="s">
        <v>231</v>
      </c>
      <c r="B26" s="81">
        <f>xg</f>
        <v>0.5</v>
      </c>
      <c r="C26" s="38" t="s">
        <v>220</v>
      </c>
      <c r="G26" s="35" t="s">
        <v>70</v>
      </c>
      <c r="H26" s="308">
        <f>X13</f>
        <v>1.2</v>
      </c>
      <c r="I26" s="308">
        <f>Y13</f>
        <v>1.3030834999999998</v>
      </c>
      <c r="J26" s="36" t="s">
        <v>233</v>
      </c>
      <c r="U26" s="245" t="s">
        <v>175</v>
      </c>
      <c r="V26" s="138">
        <f>V23</f>
        <v>0.03697881983030764</v>
      </c>
      <c r="W26" s="253"/>
      <c r="X26" s="253"/>
      <c r="Z26" s="137"/>
      <c r="AA26" s="253"/>
      <c r="AB26" s="253"/>
      <c r="AD26" s="147"/>
      <c r="AK26" s="143" t="s">
        <v>201</v>
      </c>
      <c r="AL26" s="144">
        <f>IF(ABS(COS(AL22))&lt;0.0000001,0,-COS(AL22))</f>
        <v>-0.19311618222638086</v>
      </c>
      <c r="AP26" s="144">
        <v>2</v>
      </c>
      <c r="AQ26" s="191">
        <f aca="true" t="shared" si="6" ref="AQ26:AQ56">IF(A45&gt;Nb,0,P/X$13+X$20/X$17*E45+X$21/X$18*D45)</f>
        <v>-43.7175</v>
      </c>
      <c r="AR26" s="189">
        <f aca="true" t="shared" si="7" ref="AR26:AR56">IF(A45&gt;Na,0,(P/X$13+X$20/X$17*K45+X$21/X$18*J45)*neq)</f>
        <v>-202.93295</v>
      </c>
      <c r="AS26" s="191">
        <f aca="true" t="shared" si="8" ref="AS26:AS56">IF(A45&gt;Nb,0,P/Y$13+X$20/Y$17*E45+X$21/Y$18*D45)</f>
        <v>-2.5024011322732385</v>
      </c>
      <c r="AT26" s="191">
        <f aca="true" t="shared" si="9" ref="AT26:AT56">IF(A45&gt;Na,0,(P/Y$13+X$20/Y$17*K45+X$21/Y$18*J45)*neq)</f>
        <v>-27.753725773884348</v>
      </c>
      <c r="AU26" s="190">
        <f aca="true" t="shared" si="10" ref="AU26:AU56">IF(AV$20=2,sigcPT(ELU,D45,E45,AV$11,AV$12,AV$13,AV$18,AV$16,ecc12,typ,fck,gc,ecu,kc,nc),0)</f>
        <v>0</v>
      </c>
      <c r="AV26" s="191">
        <f aca="true" t="shared" si="11" ref="AV26:AV56">IF(AV$20=2,sigsPT(ELU,J45,K45,AV$11,AV$12,AV$13,AV$21,AV$17,fyk,gs,ks,euk,eso),0)</f>
        <v>-196.50241302993564</v>
      </c>
      <c r="AW26" s="190">
        <f aca="true" t="shared" si="12" ref="AW26:AW56">IF(AX$20=3,sigcEC($D45,$E45,AX$11,AX$12,AX$13,AX$19,AX$16,AX$21,typ,fck,gc,ecu,kc,nc),0)</f>
        <v>0</v>
      </c>
      <c r="AX26" s="191">
        <f t="shared" si="1"/>
        <v>0</v>
      </c>
      <c r="AY26" s="190">
        <f t="shared" si="2"/>
        <v>0</v>
      </c>
      <c r="AZ26" s="191">
        <f t="shared" si="3"/>
        <v>0</v>
      </c>
      <c r="BA26" s="190">
        <f t="shared" si="4"/>
        <v>0</v>
      </c>
      <c r="BB26" s="190">
        <f t="shared" si="5"/>
        <v>-196.50241302993564</v>
      </c>
      <c r="BC26" s="151"/>
      <c r="BD26" s="151"/>
      <c r="BE26" s="41"/>
      <c r="BF26" s="41"/>
    </row>
    <row r="27" spans="1:58" ht="13.5">
      <c r="A27" s="39" t="s">
        <v>232</v>
      </c>
      <c r="B27" s="82">
        <f>yg</f>
        <v>0.6</v>
      </c>
      <c r="C27" s="38" t="s">
        <v>220</v>
      </c>
      <c r="G27" s="51" t="s">
        <v>71</v>
      </c>
      <c r="H27" s="309">
        <f>X17</f>
        <v>0.14400000000000002</v>
      </c>
      <c r="I27" s="309">
        <f>Y17</f>
        <v>0.16053092</v>
      </c>
      <c r="J27" s="36" t="s">
        <v>73</v>
      </c>
      <c r="Q27" s="288">
        <v>2</v>
      </c>
      <c r="R27" s="147">
        <v>1</v>
      </c>
      <c r="AD27" s="147"/>
      <c r="AJ27" s="151"/>
      <c r="AK27" s="143" t="s">
        <v>202</v>
      </c>
      <c r="AL27" s="144">
        <f>AL24</f>
        <v>0.25042572</v>
      </c>
      <c r="AP27" s="144">
        <v>3</v>
      </c>
      <c r="AQ27" s="191">
        <f t="shared" si="6"/>
        <v>47.1345</v>
      </c>
      <c r="AR27" s="189">
        <f t="shared" si="7"/>
        <v>178.64545000000004</v>
      </c>
      <c r="AS27" s="191">
        <f t="shared" si="8"/>
        <v>5.583522621235851</v>
      </c>
      <c r="AT27" s="191">
        <f t="shared" si="9"/>
        <v>6.207153990853827</v>
      </c>
      <c r="AU27" s="190">
        <f t="shared" si="10"/>
        <v>9.62958730818791</v>
      </c>
      <c r="AV27" s="191">
        <f t="shared" si="11"/>
        <v>-85.04347321602022</v>
      </c>
      <c r="AW27" s="190">
        <f t="shared" si="12"/>
        <v>0</v>
      </c>
      <c r="AX27" s="191">
        <f t="shared" si="1"/>
        <v>0</v>
      </c>
      <c r="AY27" s="190">
        <f t="shared" si="2"/>
        <v>0</v>
      </c>
      <c r="AZ27" s="191">
        <f t="shared" si="3"/>
        <v>0</v>
      </c>
      <c r="BA27" s="190">
        <f t="shared" si="4"/>
        <v>9.62958730818791</v>
      </c>
      <c r="BB27" s="190">
        <f t="shared" si="5"/>
        <v>-85.04347321602022</v>
      </c>
      <c r="BC27" s="151"/>
      <c r="BD27" s="151"/>
      <c r="BE27" s="41"/>
      <c r="BF27" s="41"/>
    </row>
    <row r="28" spans="1:58" ht="13.5">
      <c r="A28" s="39" t="s">
        <v>35</v>
      </c>
      <c r="B28" s="83">
        <f>phi</f>
        <v>0</v>
      </c>
      <c r="C28" s="38" t="s">
        <v>239</v>
      </c>
      <c r="G28" s="51" t="s">
        <v>72</v>
      </c>
      <c r="H28" s="309">
        <f>X18</f>
        <v>0.01</v>
      </c>
      <c r="I28" s="309">
        <f>Y18</f>
        <v>0.11235822000000001</v>
      </c>
      <c r="J28" s="36" t="s">
        <v>73</v>
      </c>
      <c r="Q28" s="288">
        <v>1.5</v>
      </c>
      <c r="R28" s="147">
        <f>1.5/0.85</f>
        <v>1.7647058823529411</v>
      </c>
      <c r="AD28" s="143"/>
      <c r="AF28" s="145"/>
      <c r="AJ28" s="151"/>
      <c r="AK28" s="143" t="s">
        <v>182</v>
      </c>
      <c r="AL28" s="144">
        <f>IF(AL22=PI()/2,0,IF(AL22=-PI()/2,0,TAN(AL22)))</f>
        <v>-5.080754421177703</v>
      </c>
      <c r="AM28" s="151"/>
      <c r="AN28" s="151"/>
      <c r="AO28" s="151"/>
      <c r="AP28" s="144">
        <v>4</v>
      </c>
      <c r="AQ28" s="191">
        <f t="shared" si="6"/>
        <v>44.3875</v>
      </c>
      <c r="AR28" s="189">
        <f t="shared" si="7"/>
        <v>532.96825</v>
      </c>
      <c r="AS28" s="191">
        <f t="shared" si="8"/>
        <v>3.119399198782407</v>
      </c>
      <c r="AT28" s="191">
        <f t="shared" si="9"/>
        <v>37.74225662953928</v>
      </c>
      <c r="AU28" s="190">
        <f t="shared" si="10"/>
        <v>3.361737744285368</v>
      </c>
      <c r="AV28" s="191">
        <f t="shared" si="11"/>
        <v>18.454113754044116</v>
      </c>
      <c r="AW28" s="190">
        <f t="shared" si="12"/>
        <v>0</v>
      </c>
      <c r="AX28" s="191">
        <f t="shared" si="1"/>
        <v>0</v>
      </c>
      <c r="AY28" s="190">
        <f t="shared" si="2"/>
        <v>0</v>
      </c>
      <c r="AZ28" s="191">
        <f t="shared" si="3"/>
        <v>0</v>
      </c>
      <c r="BA28" s="190">
        <f t="shared" si="4"/>
        <v>3.361737744285368</v>
      </c>
      <c r="BB28" s="190">
        <f t="shared" si="5"/>
        <v>18.454113754044116</v>
      </c>
      <c r="BC28" s="151"/>
      <c r="BD28" s="151"/>
      <c r="BE28" s="41"/>
      <c r="BF28" s="41"/>
    </row>
    <row r="29" spans="2:54" ht="12">
      <c r="B29" s="51"/>
      <c r="C29" s="76"/>
      <c r="G29" s="35"/>
      <c r="Q29" s="288">
        <v>1.15</v>
      </c>
      <c r="R29" s="147">
        <v>1.15</v>
      </c>
      <c r="AD29" s="143"/>
      <c r="AJ29" s="151"/>
      <c r="AK29" s="143" t="s">
        <v>183</v>
      </c>
      <c r="AL29" s="144">
        <f>IF(v=0,0,-w/v)</f>
        <v>1.296761965325298</v>
      </c>
      <c r="AM29" s="151"/>
      <c r="AN29" s="151"/>
      <c r="AO29" s="151"/>
      <c r="AP29" s="144">
        <v>5</v>
      </c>
      <c r="AQ29" s="191">
        <f t="shared" si="6"/>
        <v>0</v>
      </c>
      <c r="AR29" s="189">
        <f t="shared" si="7"/>
        <v>-522.9182500000001</v>
      </c>
      <c r="AS29" s="191">
        <f t="shared" si="8"/>
        <v>0</v>
      </c>
      <c r="AT29" s="191">
        <f t="shared" si="9"/>
        <v>-28.48728563190175</v>
      </c>
      <c r="AU29" s="190">
        <f t="shared" si="10"/>
        <v>0</v>
      </c>
      <c r="AV29" s="191">
        <f t="shared" si="11"/>
        <v>-221.65188064736668</v>
      </c>
      <c r="AW29" s="190">
        <f t="shared" si="12"/>
        <v>0</v>
      </c>
      <c r="AX29" s="191">
        <f t="shared" si="1"/>
        <v>0</v>
      </c>
      <c r="AY29" s="190">
        <f t="shared" si="2"/>
        <v>0</v>
      </c>
      <c r="AZ29" s="191">
        <f t="shared" si="3"/>
        <v>0</v>
      </c>
      <c r="BA29" s="190">
        <f t="shared" si="4"/>
      </c>
      <c r="BB29" s="190">
        <f t="shared" si="5"/>
        <v>-221.65188064736668</v>
      </c>
    </row>
    <row r="30" spans="17:54" ht="12.75" thickBot="1">
      <c r="Q30" s="289" t="s">
        <v>247</v>
      </c>
      <c r="R30" s="147" t="s">
        <v>247</v>
      </c>
      <c r="U30" s="336" t="str">
        <f>geom(Nb,Na,BX,BY,AA,AX,AY,0,neq)</f>
        <v> 500000000 0 600000000 0000000000000 144000000 0 100000000-1000000000000 144000000 0 100000000-1 120000000 1000000000000000000000000000000000000</v>
      </c>
      <c r="AD30" s="143"/>
      <c r="AJ30" s="151"/>
      <c r="AK30" s="151"/>
      <c r="AL30" s="151"/>
      <c r="AM30" s="151"/>
      <c r="AN30" s="151"/>
      <c r="AO30" s="151"/>
      <c r="AP30" s="144">
        <v>6</v>
      </c>
      <c r="AQ30" s="191">
        <f t="shared" si="6"/>
        <v>0</v>
      </c>
      <c r="AR30" s="189">
        <f t="shared" si="7"/>
        <v>-168.59545</v>
      </c>
      <c r="AS30" s="191">
        <f t="shared" si="8"/>
        <v>0</v>
      </c>
      <c r="AT30" s="191">
        <f t="shared" si="9"/>
        <v>3.047817006783704</v>
      </c>
      <c r="AU30" s="190">
        <f t="shared" si="10"/>
        <v>0</v>
      </c>
      <c r="AV30" s="191">
        <f t="shared" si="11"/>
        <v>-118.15429367730238</v>
      </c>
      <c r="AW30" s="190">
        <f t="shared" si="12"/>
        <v>0</v>
      </c>
      <c r="AX30" s="191">
        <f t="shared" si="1"/>
        <v>0</v>
      </c>
      <c r="AY30" s="190">
        <f t="shared" si="2"/>
        <v>0</v>
      </c>
      <c r="AZ30" s="191">
        <f t="shared" si="3"/>
        <v>0</v>
      </c>
      <c r="BA30" s="190">
        <f t="shared" si="4"/>
      </c>
      <c r="BB30" s="190">
        <f t="shared" si="5"/>
        <v>-118.15429367730238</v>
      </c>
    </row>
    <row r="31" spans="1:54" ht="13.5" thickBot="1" thickTop="1">
      <c r="A31" s="127" t="str">
        <f>"La section est "&amp;INDEX(AT61:AU64,AU60,2)</f>
        <v>La section est partiellement tendue en ELS</v>
      </c>
      <c r="AD31" s="143"/>
      <c r="AJ31" s="151"/>
      <c r="AK31" s="151"/>
      <c r="AL31" s="151"/>
      <c r="AM31" s="151"/>
      <c r="AN31" s="151"/>
      <c r="AO31" s="151"/>
      <c r="AP31" s="144">
        <v>7</v>
      </c>
      <c r="AQ31" s="191">
        <f t="shared" si="6"/>
        <v>0</v>
      </c>
      <c r="AR31" s="189">
        <f t="shared" si="7"/>
        <v>212.98295000000002</v>
      </c>
      <c r="AS31" s="191">
        <f t="shared" si="8"/>
        <v>0</v>
      </c>
      <c r="AT31" s="191">
        <f t="shared" si="9"/>
        <v>37.00869677152188</v>
      </c>
      <c r="AU31" s="190">
        <f t="shared" si="10"/>
        <v>0</v>
      </c>
      <c r="AV31" s="191">
        <f t="shared" si="11"/>
        <v>-6.695353863386923</v>
      </c>
      <c r="AW31" s="190">
        <f t="shared" si="12"/>
        <v>0</v>
      </c>
      <c r="AX31" s="191">
        <f t="shared" si="1"/>
        <v>0</v>
      </c>
      <c r="AY31" s="190">
        <f t="shared" si="2"/>
        <v>0</v>
      </c>
      <c r="AZ31" s="191">
        <f t="shared" si="3"/>
        <v>0</v>
      </c>
      <c r="BA31" s="190">
        <f t="shared" si="4"/>
      </c>
      <c r="BB31" s="190">
        <f t="shared" si="5"/>
        <v>-6.695353863386923</v>
      </c>
    </row>
    <row r="32" spans="7:54" ht="12.75" thickTop="1">
      <c r="G32" s="38"/>
      <c r="H32" s="130" t="s">
        <v>251</v>
      </c>
      <c r="I32" s="39"/>
      <c r="Q32" s="290">
        <v>0</v>
      </c>
      <c r="R32" s="198">
        <v>0</v>
      </c>
      <c r="T32" s="291">
        <v>20</v>
      </c>
      <c r="U32" s="292">
        <v>0.05</v>
      </c>
      <c r="V32" s="257">
        <v>0.05</v>
      </c>
      <c r="AJ32" s="151"/>
      <c r="AK32" s="151"/>
      <c r="AL32" s="151"/>
      <c r="AM32" s="151"/>
      <c r="AN32" s="151"/>
      <c r="AO32" s="151"/>
      <c r="AP32" s="144">
        <v>8</v>
      </c>
      <c r="AQ32" s="191">
        <f t="shared" si="6"/>
        <v>0</v>
      </c>
      <c r="AR32" s="189">
        <f t="shared" si="7"/>
        <v>567.30575</v>
      </c>
      <c r="AS32" s="191">
        <f t="shared" si="8"/>
        <v>0</v>
      </c>
      <c r="AT32" s="191">
        <f t="shared" si="9"/>
        <v>68.54379941020734</v>
      </c>
      <c r="AU32" s="190">
        <f t="shared" si="10"/>
        <v>0</v>
      </c>
      <c r="AV32" s="191">
        <f t="shared" si="11"/>
        <v>96.80223310667743</v>
      </c>
      <c r="AW32" s="190">
        <f t="shared" si="12"/>
        <v>0</v>
      </c>
      <c r="AX32" s="191">
        <f t="shared" si="1"/>
        <v>0</v>
      </c>
      <c r="AY32" s="190">
        <f t="shared" si="2"/>
        <v>0</v>
      </c>
      <c r="AZ32" s="191">
        <f t="shared" si="3"/>
        <v>0</v>
      </c>
      <c r="BA32" s="190">
        <f t="shared" si="4"/>
      </c>
      <c r="BB32" s="190">
        <f t="shared" si="5"/>
        <v>96.80223310667743</v>
      </c>
    </row>
    <row r="33" spans="2:54" ht="12">
      <c r="B33" s="85"/>
      <c r="C33" s="86" t="s">
        <v>207</v>
      </c>
      <c r="D33" s="85" t="s">
        <v>206</v>
      </c>
      <c r="E33" s="38"/>
      <c r="G33" s="38"/>
      <c r="H33" s="85" t="s">
        <v>198</v>
      </c>
      <c r="I33" s="85" t="s">
        <v>199</v>
      </c>
      <c r="K33" s="266" t="str">
        <f>IF(P=0,"N résid.","N résist.")</f>
        <v>N résist.</v>
      </c>
      <c r="L33" s="267">
        <f>IF(cas=1,MIN(sc/H34,ss/MAX(I34,-I35))*P,BA7)</f>
        <v>0.33015721000000003</v>
      </c>
      <c r="M33" s="268" t="s">
        <v>162</v>
      </c>
      <c r="Q33" s="293">
        <v>0</v>
      </c>
      <c r="R33" s="200">
        <v>1</v>
      </c>
      <c r="T33" s="294">
        <v>20</v>
      </c>
      <c r="U33" s="295">
        <v>0.05</v>
      </c>
      <c r="V33" s="258">
        <v>0.95</v>
      </c>
      <c r="AJ33" s="151"/>
      <c r="AK33" s="151"/>
      <c r="AL33" s="151"/>
      <c r="AM33" s="151"/>
      <c r="AN33" s="151"/>
      <c r="AO33" s="151"/>
      <c r="AP33" s="144">
        <v>9</v>
      </c>
      <c r="AQ33" s="191">
        <f t="shared" si="6"/>
        <v>0</v>
      </c>
      <c r="AR33" s="189">
        <f t="shared" si="7"/>
        <v>-548.671375</v>
      </c>
      <c r="AS33" s="191">
        <f t="shared" si="8"/>
        <v>0</v>
      </c>
      <c r="AT33" s="191">
        <f t="shared" si="9"/>
        <v>-51.588442717402785</v>
      </c>
      <c r="AU33" s="190">
        <f t="shared" si="10"/>
        <v>0</v>
      </c>
      <c r="AV33" s="191">
        <f t="shared" si="11"/>
        <v>-280.4129701618417</v>
      </c>
      <c r="AW33" s="190">
        <f t="shared" si="12"/>
        <v>0</v>
      </c>
      <c r="AX33" s="191">
        <f t="shared" si="1"/>
        <v>0</v>
      </c>
      <c r="AY33" s="190">
        <f t="shared" si="2"/>
        <v>0</v>
      </c>
      <c r="AZ33" s="191">
        <f t="shared" si="3"/>
        <v>0</v>
      </c>
      <c r="BA33" s="190">
        <f t="shared" si="4"/>
      </c>
      <c r="BB33" s="190">
        <f t="shared" si="5"/>
        <v>-280.4129701618417</v>
      </c>
    </row>
    <row r="34" spans="2:54" ht="13.5">
      <c r="B34" s="82" t="s">
        <v>227</v>
      </c>
      <c r="C34" s="81">
        <f>IF(P=0,0,ex)</f>
        <v>2.76</v>
      </c>
      <c r="D34" s="81">
        <f>IF(C34=0,0,fnx(C12,C13,xg,yg,phir))</f>
        <v>2.26</v>
      </c>
      <c r="E34" s="38" t="s">
        <v>220</v>
      </c>
      <c r="G34" s="87" t="s">
        <v>189</v>
      </c>
      <c r="H34" s="264">
        <f>MAX(F44:F75)</f>
        <v>9.62958730818791</v>
      </c>
      <c r="I34" s="265">
        <f>MAX(M44:M75)</f>
        <v>96.80223310667743</v>
      </c>
      <c r="K34" s="269" t="str">
        <f>IF(P=0,"","soit")</f>
        <v>soit</v>
      </c>
      <c r="L34" s="270">
        <f>IF(P=0,"",L33/P)</f>
        <v>0.821286592039801</v>
      </c>
      <c r="M34" s="271" t="str">
        <f>IF(P=0,"","de P")</f>
        <v>de P</v>
      </c>
      <c r="N34" s="347" t="str">
        <f>IF((L33-P)&gt;0.001,"OK","KO")</f>
        <v>KO</v>
      </c>
      <c r="O34" s="310"/>
      <c r="Q34" s="293">
        <v>0.7</v>
      </c>
      <c r="R34" s="200">
        <v>1</v>
      </c>
      <c r="T34" s="294">
        <v>20</v>
      </c>
      <c r="U34" s="295">
        <v>0.65</v>
      </c>
      <c r="V34" s="258">
        <v>0.95</v>
      </c>
      <c r="Y34" s="53" t="s">
        <v>276</v>
      </c>
      <c r="Z34" s="298"/>
      <c r="AA34" s="298"/>
      <c r="AB34" s="298"/>
      <c r="AC34" s="298"/>
      <c r="AD34" s="298"/>
      <c r="AE34" s="298"/>
      <c r="AF34" s="298"/>
      <c r="AG34" s="298"/>
      <c r="AJ34" s="151"/>
      <c r="AK34" s="151"/>
      <c r="AL34" s="151"/>
      <c r="AM34" s="151"/>
      <c r="AN34" s="151"/>
      <c r="AO34" s="151"/>
      <c r="AP34" s="144">
        <v>10</v>
      </c>
      <c r="AQ34" s="191">
        <f t="shared" si="6"/>
        <v>0</v>
      </c>
      <c r="AR34" s="189">
        <f t="shared" si="7"/>
        <v>541.8960000000001</v>
      </c>
      <c r="AS34" s="191">
        <f t="shared" si="8"/>
        <v>0</v>
      </c>
      <c r="AT34" s="191">
        <f t="shared" si="9"/>
        <v>45.75065775251297</v>
      </c>
      <c r="AU34" s="190">
        <f t="shared" si="10"/>
        <v>0</v>
      </c>
      <c r="AV34" s="191">
        <f t="shared" si="11"/>
        <v>38.82462478572878</v>
      </c>
      <c r="AW34" s="190">
        <f t="shared" si="12"/>
        <v>0</v>
      </c>
      <c r="AX34" s="191">
        <f t="shared" si="1"/>
        <v>0</v>
      </c>
      <c r="AY34" s="190">
        <f t="shared" si="2"/>
        <v>0</v>
      </c>
      <c r="AZ34" s="191">
        <f t="shared" si="3"/>
        <v>0</v>
      </c>
      <c r="BA34" s="190">
        <f t="shared" si="4"/>
      </c>
      <c r="BB34" s="190">
        <f t="shared" si="5"/>
        <v>38.82462478572878</v>
      </c>
    </row>
    <row r="35" spans="2:54" ht="13.5">
      <c r="B35" s="82" t="s">
        <v>228</v>
      </c>
      <c r="C35" s="82">
        <f>IF(P=0,0,ey)</f>
        <v>1.42</v>
      </c>
      <c r="D35" s="82">
        <f>IF(C35=0,0,fny(C12,C13,xg,yg,phir))</f>
        <v>0.82</v>
      </c>
      <c r="E35" s="38" t="s">
        <v>220</v>
      </c>
      <c r="G35" s="87" t="s">
        <v>190</v>
      </c>
      <c r="H35" s="264">
        <f>MIN(F44:F75)</f>
        <v>0</v>
      </c>
      <c r="I35" s="265">
        <f>MIN(M44:M75)</f>
        <v>-300</v>
      </c>
      <c r="Q35" s="293">
        <v>0.7</v>
      </c>
      <c r="R35" s="200">
        <v>0</v>
      </c>
      <c r="T35" s="294">
        <v>20</v>
      </c>
      <c r="U35" s="295">
        <v>0.65</v>
      </c>
      <c r="V35" s="258">
        <v>0.05</v>
      </c>
      <c r="Y35" s="299">
        <v>1</v>
      </c>
      <c r="Z35" s="300">
        <v>2</v>
      </c>
      <c r="AA35" s="300">
        <v>3</v>
      </c>
      <c r="AB35" s="300">
        <v>4</v>
      </c>
      <c r="AC35" s="300">
        <v>5</v>
      </c>
      <c r="AD35" s="300">
        <v>6</v>
      </c>
      <c r="AE35" s="300">
        <v>7</v>
      </c>
      <c r="AF35" s="300">
        <v>8</v>
      </c>
      <c r="AG35" s="301">
        <v>9</v>
      </c>
      <c r="AJ35" s="151"/>
      <c r="AK35" s="151"/>
      <c r="AL35" s="151"/>
      <c r="AM35" s="151"/>
      <c r="AN35" s="151"/>
      <c r="AO35" s="151"/>
      <c r="AP35" s="144">
        <v>11</v>
      </c>
      <c r="AQ35" s="191">
        <f t="shared" si="6"/>
        <v>0</v>
      </c>
      <c r="AR35" s="189">
        <f t="shared" si="7"/>
        <v>-540.087</v>
      </c>
      <c r="AS35" s="191">
        <f t="shared" si="8"/>
        <v>0</v>
      </c>
      <c r="AT35" s="191">
        <f t="shared" si="9"/>
        <v>-43.88805702223578</v>
      </c>
      <c r="AU35" s="190">
        <f t="shared" si="10"/>
        <v>0</v>
      </c>
      <c r="AV35" s="191">
        <f t="shared" si="11"/>
        <v>-260.82594032368337</v>
      </c>
      <c r="AW35" s="190">
        <f t="shared" si="12"/>
        <v>0</v>
      </c>
      <c r="AX35" s="191">
        <f t="shared" si="1"/>
        <v>0</v>
      </c>
      <c r="AY35" s="190">
        <f t="shared" si="2"/>
        <v>0</v>
      </c>
      <c r="AZ35" s="191">
        <f t="shared" si="3"/>
        <v>0</v>
      </c>
      <c r="BA35" s="190">
        <f t="shared" si="4"/>
      </c>
      <c r="BB35" s="190">
        <f t="shared" si="5"/>
        <v>-260.82594032368337</v>
      </c>
    </row>
    <row r="36" spans="2:54" ht="13.5">
      <c r="B36" s="82" t="s">
        <v>229</v>
      </c>
      <c r="C36" s="82">
        <f>IF(P=0,ey,P*ey)</f>
        <v>0.57084</v>
      </c>
      <c r="D36" s="82">
        <f>IF(P=0,ey,P*D35)</f>
        <v>0.32964</v>
      </c>
      <c r="E36" s="38" t="s">
        <v>194</v>
      </c>
      <c r="K36" s="272"/>
      <c r="L36" s="273" t="s">
        <v>256</v>
      </c>
      <c r="M36" s="274"/>
      <c r="N36" s="275"/>
      <c r="O36" s="281"/>
      <c r="Y36" s="42" t="s">
        <v>277</v>
      </c>
      <c r="Z36" s="302" t="s">
        <v>278</v>
      </c>
      <c r="AA36" s="302" t="s">
        <v>126</v>
      </c>
      <c r="AB36" s="302" t="s">
        <v>121</v>
      </c>
      <c r="AC36" s="302" t="s">
        <v>120</v>
      </c>
      <c r="AD36" s="302" t="s">
        <v>123</v>
      </c>
      <c r="AE36" s="302" t="s">
        <v>122</v>
      </c>
      <c r="AF36" s="302" t="s">
        <v>279</v>
      </c>
      <c r="AG36" s="303" t="s">
        <v>118</v>
      </c>
      <c r="AJ36" s="151"/>
      <c r="AK36" s="151"/>
      <c r="AL36" s="151"/>
      <c r="AM36" s="151"/>
      <c r="AN36" s="151"/>
      <c r="AO36" s="151"/>
      <c r="AP36" s="144">
        <v>12</v>
      </c>
      <c r="AQ36" s="191">
        <f t="shared" si="6"/>
        <v>0</v>
      </c>
      <c r="AR36" s="189">
        <f t="shared" si="7"/>
        <v>550.1370000000001</v>
      </c>
      <c r="AS36" s="191">
        <f t="shared" si="8"/>
        <v>0</v>
      </c>
      <c r="AT36" s="191">
        <f t="shared" si="9"/>
        <v>53.143028019873306</v>
      </c>
      <c r="AU36" s="190">
        <f t="shared" si="10"/>
        <v>0</v>
      </c>
      <c r="AV36" s="191">
        <f t="shared" si="11"/>
        <v>57.628173430360754</v>
      </c>
      <c r="AW36" s="190">
        <f t="shared" si="12"/>
        <v>0</v>
      </c>
      <c r="AX36" s="191">
        <f t="shared" si="1"/>
        <v>0</v>
      </c>
      <c r="AY36" s="190">
        <f t="shared" si="2"/>
        <v>0</v>
      </c>
      <c r="AZ36" s="191">
        <f t="shared" si="3"/>
        <v>0</v>
      </c>
      <c r="BA36" s="190">
        <f t="shared" si="4"/>
      </c>
      <c r="BB36" s="190">
        <f t="shared" si="5"/>
        <v>57.628173430360754</v>
      </c>
    </row>
    <row r="37" spans="2:54" ht="13.5">
      <c r="B37" s="89" t="s">
        <v>230</v>
      </c>
      <c r="C37" s="89">
        <f>IF(P=0,ex,P*ex)</f>
        <v>1.10952</v>
      </c>
      <c r="D37" s="89">
        <f>IF(P=0,ex,P*D34)</f>
        <v>0.90852</v>
      </c>
      <c r="E37" s="38" t="s">
        <v>194</v>
      </c>
      <c r="K37" s="276"/>
      <c r="L37" s="277" t="str">
        <f>IF(P=0,"Delta omega =","Delta exc. =")</f>
        <v>Delta exc. =</v>
      </c>
      <c r="M37" s="278">
        <f>preci</f>
        <v>1.1341191E-06</v>
      </c>
      <c r="N37" s="279" t="str">
        <f>IF(P=0,"degré","mm")</f>
        <v>mm</v>
      </c>
      <c r="O37" s="281"/>
      <c r="Y37" s="42">
        <v>12</v>
      </c>
      <c r="Z37" s="302">
        <v>1.6</v>
      </c>
      <c r="AA37" s="302">
        <v>27</v>
      </c>
      <c r="AB37" s="302">
        <v>3.5</v>
      </c>
      <c r="AC37" s="302">
        <v>1.8</v>
      </c>
      <c r="AD37" s="302">
        <v>3.5</v>
      </c>
      <c r="AE37" s="302">
        <v>2</v>
      </c>
      <c r="AF37" s="302">
        <v>2</v>
      </c>
      <c r="AG37" s="304">
        <f aca="true" t="shared" si="13" ref="AG37:AG50">1.05*AA37/1.2*AC37/Y37*gc</f>
        <v>8.268750000000002</v>
      </c>
      <c r="AJ37" s="151"/>
      <c r="AK37" s="151"/>
      <c r="AL37" s="151"/>
      <c r="AM37" s="151"/>
      <c r="AN37" s="151"/>
      <c r="AO37" s="151"/>
      <c r="AP37" s="144">
        <v>13</v>
      </c>
      <c r="AQ37" s="191">
        <f t="shared" si="6"/>
        <v>0</v>
      </c>
      <c r="AR37" s="189">
        <f t="shared" si="7"/>
        <v>-531.5026250000001</v>
      </c>
      <c r="AS37" s="191">
        <f t="shared" si="8"/>
        <v>0</v>
      </c>
      <c r="AT37" s="191">
        <f t="shared" si="9"/>
        <v>-36.18767132706877</v>
      </c>
      <c r="AU37" s="190">
        <f t="shared" si="10"/>
        <v>0</v>
      </c>
      <c r="AV37" s="191">
        <f t="shared" si="11"/>
        <v>-241.23891048552508</v>
      </c>
      <c r="AW37" s="190">
        <f t="shared" si="12"/>
        <v>0</v>
      </c>
      <c r="AX37" s="191">
        <f t="shared" si="1"/>
        <v>0</v>
      </c>
      <c r="AY37" s="190">
        <f t="shared" si="2"/>
        <v>0</v>
      </c>
      <c r="AZ37" s="191">
        <f t="shared" si="3"/>
        <v>0</v>
      </c>
      <c r="BA37" s="190">
        <f t="shared" si="4"/>
      </c>
      <c r="BB37" s="190">
        <f t="shared" si="5"/>
        <v>-241.23891048552508</v>
      </c>
    </row>
    <row r="38" spans="2:54" ht="12">
      <c r="B38" s="38"/>
      <c r="C38" s="76"/>
      <c r="D38" s="40"/>
      <c r="K38" s="280" t="s">
        <v>105</v>
      </c>
      <c r="L38" s="281"/>
      <c r="M38" s="281"/>
      <c r="N38" s="279"/>
      <c r="O38" s="281"/>
      <c r="R38" s="193" t="s">
        <v>204</v>
      </c>
      <c r="S38" s="194"/>
      <c r="Y38" s="42">
        <v>16</v>
      </c>
      <c r="Z38" s="302">
        <v>1.9</v>
      </c>
      <c r="AA38" s="302">
        <v>29</v>
      </c>
      <c r="AB38" s="302">
        <v>3.5</v>
      </c>
      <c r="AC38" s="302">
        <v>1.9</v>
      </c>
      <c r="AD38" s="302">
        <v>3.5</v>
      </c>
      <c r="AE38" s="302">
        <v>2</v>
      </c>
      <c r="AF38" s="302">
        <v>2</v>
      </c>
      <c r="AG38" s="304">
        <f t="shared" si="13"/>
        <v>7.0309895833333345</v>
      </c>
      <c r="AJ38" s="151"/>
      <c r="AK38" s="151"/>
      <c r="AL38" s="151"/>
      <c r="AM38" s="151"/>
      <c r="AN38" s="151"/>
      <c r="AO38" s="151"/>
      <c r="AP38" s="144">
        <v>14</v>
      </c>
      <c r="AQ38" s="191">
        <f t="shared" si="6"/>
        <v>0</v>
      </c>
      <c r="AR38" s="189">
        <f t="shared" si="7"/>
        <v>558.721375</v>
      </c>
      <c r="AS38" s="191">
        <f t="shared" si="8"/>
        <v>0</v>
      </c>
      <c r="AT38" s="191">
        <f t="shared" si="9"/>
        <v>60.84341371504031</v>
      </c>
      <c r="AU38" s="190">
        <f t="shared" si="10"/>
        <v>0</v>
      </c>
      <c r="AV38" s="191">
        <f t="shared" si="11"/>
        <v>77.21520326851906</v>
      </c>
      <c r="AW38" s="190">
        <f t="shared" si="12"/>
        <v>0</v>
      </c>
      <c r="AX38" s="191">
        <f t="shared" si="1"/>
        <v>0</v>
      </c>
      <c r="AY38" s="190">
        <f t="shared" si="2"/>
        <v>0</v>
      </c>
      <c r="AZ38" s="191">
        <f t="shared" si="3"/>
        <v>0</v>
      </c>
      <c r="BA38" s="190">
        <f t="shared" si="4"/>
      </c>
      <c r="BB38" s="190">
        <f t="shared" si="5"/>
        <v>77.21520326851906</v>
      </c>
    </row>
    <row r="39" spans="1:54" ht="12">
      <c r="A39" s="34"/>
      <c r="K39" s="282" t="s">
        <v>257</v>
      </c>
      <c r="L39" s="283"/>
      <c r="M39" s="283"/>
      <c r="N39" s="284"/>
      <c r="O39" s="281"/>
      <c r="Q39" s="147"/>
      <c r="R39" s="153" t="s">
        <v>218</v>
      </c>
      <c r="S39" s="167" t="s">
        <v>219</v>
      </c>
      <c r="Y39" s="42">
        <v>20</v>
      </c>
      <c r="Z39" s="302">
        <v>2.2</v>
      </c>
      <c r="AA39" s="302">
        <v>30</v>
      </c>
      <c r="AB39" s="302">
        <v>3.5</v>
      </c>
      <c r="AC39" s="302">
        <v>2</v>
      </c>
      <c r="AD39" s="302">
        <v>3.5</v>
      </c>
      <c r="AE39" s="302">
        <v>2</v>
      </c>
      <c r="AF39" s="302">
        <v>2</v>
      </c>
      <c r="AG39" s="304">
        <f t="shared" si="13"/>
        <v>6.125</v>
      </c>
      <c r="AJ39" s="151"/>
      <c r="AK39" s="151"/>
      <c r="AL39" s="151"/>
      <c r="AM39" s="151"/>
      <c r="AN39" s="151"/>
      <c r="AO39" s="151"/>
      <c r="AP39" s="144">
        <v>15</v>
      </c>
      <c r="AQ39" s="191">
        <f t="shared" si="6"/>
        <v>0</v>
      </c>
      <c r="AR39" s="189">
        <f t="shared" si="7"/>
        <v>0</v>
      </c>
      <c r="AS39" s="191">
        <f t="shared" si="8"/>
        <v>0</v>
      </c>
      <c r="AT39" s="191">
        <f t="shared" si="9"/>
        <v>0</v>
      </c>
      <c r="AU39" s="190">
        <f t="shared" si="10"/>
        <v>0</v>
      </c>
      <c r="AV39" s="191">
        <f t="shared" si="11"/>
        <v>-101.5988834466613</v>
      </c>
      <c r="AW39" s="190">
        <f t="shared" si="12"/>
        <v>0</v>
      </c>
      <c r="AX39" s="191">
        <f t="shared" si="1"/>
        <v>0</v>
      </c>
      <c r="AY39" s="190">
        <f t="shared" si="2"/>
        <v>0</v>
      </c>
      <c r="AZ39" s="191">
        <f t="shared" si="3"/>
        <v>0</v>
      </c>
      <c r="BA39" s="190">
        <f t="shared" si="4"/>
      </c>
      <c r="BB39" s="190">
        <f t="shared" si="5"/>
      </c>
    </row>
    <row r="40" spans="1:54" ht="12.75" thickBot="1">
      <c r="A40" s="92"/>
      <c r="B40" s="45"/>
      <c r="C40" s="76"/>
      <c r="D40" s="46"/>
      <c r="F40" s="93"/>
      <c r="H40" s="36"/>
      <c r="Q40" s="147"/>
      <c r="R40" s="195" t="s">
        <v>220</v>
      </c>
      <c r="S40" s="196" t="s">
        <v>220</v>
      </c>
      <c r="Y40" s="42">
        <v>25</v>
      </c>
      <c r="Z40" s="302">
        <v>2.6</v>
      </c>
      <c r="AA40" s="302">
        <v>31</v>
      </c>
      <c r="AB40" s="302">
        <v>3.5</v>
      </c>
      <c r="AC40" s="302">
        <v>2.1</v>
      </c>
      <c r="AD40" s="302">
        <v>3.5</v>
      </c>
      <c r="AE40" s="302">
        <v>2</v>
      </c>
      <c r="AF40" s="302">
        <v>2</v>
      </c>
      <c r="AG40" s="304">
        <f t="shared" si="13"/>
        <v>5.316500000000002</v>
      </c>
      <c r="AJ40" s="151"/>
      <c r="AK40" s="151"/>
      <c r="AL40" s="151"/>
      <c r="AM40" s="151"/>
      <c r="AN40" s="151"/>
      <c r="AO40" s="151"/>
      <c r="AP40" s="144">
        <v>16</v>
      </c>
      <c r="AQ40" s="191">
        <f t="shared" si="6"/>
        <v>0</v>
      </c>
      <c r="AR40" s="189">
        <f t="shared" si="7"/>
        <v>0</v>
      </c>
      <c r="AS40" s="191">
        <f t="shared" si="8"/>
        <v>0</v>
      </c>
      <c r="AT40" s="191">
        <f t="shared" si="9"/>
        <v>0</v>
      </c>
      <c r="AU40" s="190">
        <f t="shared" si="10"/>
        <v>0</v>
      </c>
      <c r="AV40" s="191">
        <f t="shared" si="11"/>
        <v>-101.5988834466613</v>
      </c>
      <c r="AW40" s="190">
        <f t="shared" si="12"/>
        <v>0</v>
      </c>
      <c r="AX40" s="191">
        <f t="shared" si="1"/>
        <v>0</v>
      </c>
      <c r="AY40" s="190">
        <f t="shared" si="2"/>
        <v>0</v>
      </c>
      <c r="AZ40" s="191">
        <f t="shared" si="3"/>
        <v>0</v>
      </c>
      <c r="BA40" s="190">
        <f t="shared" si="4"/>
      </c>
      <c r="BB40" s="190">
        <f t="shared" si="5"/>
      </c>
    </row>
    <row r="41" spans="2:54" ht="12.75" thickTop="1">
      <c r="B41" s="90" t="s">
        <v>204</v>
      </c>
      <c r="C41" s="91"/>
      <c r="D41" s="95"/>
      <c r="E41" s="95"/>
      <c r="F41" s="91" t="s">
        <v>188</v>
      </c>
      <c r="G41" s="96" t="s">
        <v>205</v>
      </c>
      <c r="H41" s="95"/>
      <c r="I41" s="91"/>
      <c r="J41" s="95"/>
      <c r="K41" s="95"/>
      <c r="L41" s="95"/>
      <c r="M41" s="97" t="s">
        <v>188</v>
      </c>
      <c r="N41" s="53"/>
      <c r="O41" s="53"/>
      <c r="Q41" s="189"/>
      <c r="R41" s="197">
        <v>0.2</v>
      </c>
      <c r="S41" s="198">
        <v>0</v>
      </c>
      <c r="Y41" s="42">
        <v>30</v>
      </c>
      <c r="Z41" s="302">
        <v>2.9</v>
      </c>
      <c r="AA41" s="302">
        <v>33</v>
      </c>
      <c r="AB41" s="302">
        <v>3.5</v>
      </c>
      <c r="AC41" s="302">
        <v>2.2</v>
      </c>
      <c r="AD41" s="302">
        <v>3.5</v>
      </c>
      <c r="AE41" s="302">
        <v>2</v>
      </c>
      <c r="AF41" s="302">
        <v>2</v>
      </c>
      <c r="AG41" s="304">
        <f t="shared" si="13"/>
        <v>4.940833333333334</v>
      </c>
      <c r="AH41" s="143"/>
      <c r="AJ41" s="151"/>
      <c r="AK41" s="151"/>
      <c r="AL41" s="151"/>
      <c r="AM41" s="151"/>
      <c r="AN41" s="151"/>
      <c r="AO41" s="151"/>
      <c r="AP41" s="144">
        <v>17</v>
      </c>
      <c r="AQ41" s="191">
        <f t="shared" si="6"/>
        <v>0</v>
      </c>
      <c r="AR41" s="189">
        <f t="shared" si="7"/>
        <v>0</v>
      </c>
      <c r="AS41" s="191">
        <f t="shared" si="8"/>
        <v>0</v>
      </c>
      <c r="AT41" s="191">
        <f t="shared" si="9"/>
        <v>0</v>
      </c>
      <c r="AU41" s="190">
        <f t="shared" si="10"/>
        <v>0</v>
      </c>
      <c r="AV41" s="191">
        <f t="shared" si="11"/>
        <v>-101.5988834466613</v>
      </c>
      <c r="AW41" s="190">
        <f t="shared" si="12"/>
        <v>0</v>
      </c>
      <c r="AX41" s="191">
        <f t="shared" si="1"/>
        <v>0</v>
      </c>
      <c r="AY41" s="190">
        <f t="shared" si="2"/>
        <v>0</v>
      </c>
      <c r="AZ41" s="191">
        <f t="shared" si="3"/>
        <v>0</v>
      </c>
      <c r="BA41" s="190">
        <f t="shared" si="4"/>
      </c>
      <c r="BB41" s="190">
        <f t="shared" si="5"/>
      </c>
    </row>
    <row r="42" spans="2:54" ht="13.5">
      <c r="B42" s="50" t="s">
        <v>218</v>
      </c>
      <c r="C42" s="50" t="s">
        <v>219</v>
      </c>
      <c r="D42" s="42" t="s">
        <v>231</v>
      </c>
      <c r="E42" s="43" t="s">
        <v>232</v>
      </c>
      <c r="F42" s="98" t="s">
        <v>236</v>
      </c>
      <c r="G42" s="50" t="s">
        <v>26</v>
      </c>
      <c r="H42" s="50" t="s">
        <v>218</v>
      </c>
      <c r="I42" s="50" t="s">
        <v>219</v>
      </c>
      <c r="J42" s="42" t="s">
        <v>231</v>
      </c>
      <c r="K42" s="43" t="s">
        <v>232</v>
      </c>
      <c r="L42" s="50" t="s">
        <v>25</v>
      </c>
      <c r="M42" s="98" t="s">
        <v>237</v>
      </c>
      <c r="N42" s="76"/>
      <c r="O42" s="76"/>
      <c r="P42" s="147"/>
      <c r="Q42" s="189"/>
      <c r="R42" s="199">
        <v>0.2</v>
      </c>
      <c r="S42" s="200">
        <v>0.2</v>
      </c>
      <c r="Y42" s="305">
        <v>35</v>
      </c>
      <c r="Z42" s="302">
        <v>3.2</v>
      </c>
      <c r="AA42" s="302">
        <v>34</v>
      </c>
      <c r="AB42" s="302">
        <v>3.5</v>
      </c>
      <c r="AC42" s="302">
        <v>2.25</v>
      </c>
      <c r="AD42" s="302">
        <v>3.5</v>
      </c>
      <c r="AE42" s="302">
        <v>2</v>
      </c>
      <c r="AF42" s="302">
        <v>2</v>
      </c>
      <c r="AG42" s="304">
        <f t="shared" si="13"/>
        <v>4.462500000000001</v>
      </c>
      <c r="AJ42" s="151"/>
      <c r="AK42" s="151"/>
      <c r="AL42" s="151"/>
      <c r="AM42" s="151"/>
      <c r="AN42" s="151"/>
      <c r="AO42" s="151"/>
      <c r="AP42" s="144">
        <v>18</v>
      </c>
      <c r="AQ42" s="191">
        <f t="shared" si="6"/>
        <v>0</v>
      </c>
      <c r="AR42" s="189">
        <f t="shared" si="7"/>
        <v>0</v>
      </c>
      <c r="AS42" s="191">
        <f t="shared" si="8"/>
        <v>0</v>
      </c>
      <c r="AT42" s="191">
        <f t="shared" si="9"/>
        <v>0</v>
      </c>
      <c r="AU42" s="190">
        <f t="shared" si="10"/>
        <v>0</v>
      </c>
      <c r="AV42" s="191">
        <f t="shared" si="11"/>
        <v>-101.5988834466613</v>
      </c>
      <c r="AW42" s="190">
        <f t="shared" si="12"/>
        <v>0</v>
      </c>
      <c r="AX42" s="191">
        <f t="shared" si="1"/>
        <v>0</v>
      </c>
      <c r="AY42" s="190">
        <f t="shared" si="2"/>
        <v>0</v>
      </c>
      <c r="AZ42" s="191">
        <f t="shared" si="3"/>
        <v>0</v>
      </c>
      <c r="BA42" s="190">
        <f t="shared" si="4"/>
      </c>
      <c r="BB42" s="190">
        <f t="shared" si="5"/>
      </c>
    </row>
    <row r="43" spans="2:54" ht="14.25" thickBot="1">
      <c r="B43" s="94" t="s">
        <v>220</v>
      </c>
      <c r="C43" s="94" t="s">
        <v>220</v>
      </c>
      <c r="D43" s="77" t="s">
        <v>220</v>
      </c>
      <c r="E43" s="99" t="s">
        <v>220</v>
      </c>
      <c r="F43" s="82" t="s">
        <v>22</v>
      </c>
      <c r="G43" s="94" t="s">
        <v>221</v>
      </c>
      <c r="H43" s="94" t="s">
        <v>220</v>
      </c>
      <c r="I43" s="94" t="s">
        <v>220</v>
      </c>
      <c r="J43" s="77" t="s">
        <v>220</v>
      </c>
      <c r="K43" s="99" t="s">
        <v>220</v>
      </c>
      <c r="L43" s="52" t="s">
        <v>234</v>
      </c>
      <c r="M43" s="89" t="s">
        <v>22</v>
      </c>
      <c r="N43" s="76"/>
      <c r="O43" s="76"/>
      <c r="P43" s="147"/>
      <c r="Q43" s="189"/>
      <c r="R43" s="199">
        <v>0.3</v>
      </c>
      <c r="S43" s="200">
        <v>0.2</v>
      </c>
      <c r="Y43" s="305">
        <v>40</v>
      </c>
      <c r="Z43" s="302">
        <v>3.5</v>
      </c>
      <c r="AA43" s="302">
        <v>35</v>
      </c>
      <c r="AB43" s="302">
        <v>3.5</v>
      </c>
      <c r="AC43" s="302">
        <v>2.3</v>
      </c>
      <c r="AD43" s="302">
        <v>3.5</v>
      </c>
      <c r="AE43" s="302">
        <v>2</v>
      </c>
      <c r="AF43" s="302">
        <v>2</v>
      </c>
      <c r="AG43" s="304">
        <f>1.05*AA43/1.2*AC43/Y43*gc</f>
        <v>4.108854166666667</v>
      </c>
      <c r="AJ43" s="151"/>
      <c r="AP43" s="144">
        <v>19</v>
      </c>
      <c r="AQ43" s="191">
        <f t="shared" si="6"/>
        <v>0</v>
      </c>
      <c r="AR43" s="189">
        <f t="shared" si="7"/>
        <v>0</v>
      </c>
      <c r="AS43" s="191">
        <f t="shared" si="8"/>
        <v>0</v>
      </c>
      <c r="AT43" s="191">
        <f t="shared" si="9"/>
        <v>0</v>
      </c>
      <c r="AU43" s="190">
        <f t="shared" si="10"/>
        <v>0</v>
      </c>
      <c r="AV43" s="191">
        <f t="shared" si="11"/>
        <v>-101.5988834466613</v>
      </c>
      <c r="AW43" s="190">
        <f t="shared" si="12"/>
        <v>0</v>
      </c>
      <c r="AX43" s="191">
        <f t="shared" si="1"/>
        <v>0</v>
      </c>
      <c r="AY43" s="190">
        <f t="shared" si="2"/>
        <v>0</v>
      </c>
      <c r="AZ43" s="191">
        <f t="shared" si="3"/>
        <v>0</v>
      </c>
      <c r="BA43" s="190">
        <f t="shared" si="4"/>
      </c>
      <c r="BB43" s="190">
        <f t="shared" si="5"/>
      </c>
    </row>
    <row r="44" spans="1:54" ht="12.75" thickTop="1">
      <c r="A44" s="35">
        <v>1</v>
      </c>
      <c r="B44" s="8">
        <v>0</v>
      </c>
      <c r="C44" s="9">
        <v>0</v>
      </c>
      <c r="D44" s="100">
        <f aca="true" t="shared" si="14" ref="D44:D75">IF(A44&gt;Nb+1,0,IF(A44=Nb+1,D$44,fnx(B44,C44,xg,yg,phir)))</f>
        <v>-0.5</v>
      </c>
      <c r="E44" s="101">
        <f aca="true" t="shared" si="15" ref="E44:E75">IF(A44&gt;Nb+1,0,IF(A44=Nb+1,E$44,fny(B44,C44,xg,yg,phir)))</f>
        <v>-0.6</v>
      </c>
      <c r="F44" s="102">
        <f>BA25</f>
        <v>0</v>
      </c>
      <c r="G44" s="8">
        <v>25</v>
      </c>
      <c r="H44" s="12">
        <v>0.1</v>
      </c>
      <c r="I44" s="9">
        <v>0.1</v>
      </c>
      <c r="J44" s="100">
        <f>IF(A44&gt;Na,0,(H44-xg)*COS(phir)+(I44-yg)*SIN(phir))</f>
        <v>-0.4</v>
      </c>
      <c r="K44" s="103">
        <f>IF(A44&gt;Na,0,-(H44-xg)*SIN(phir)+(I44-yg)*COS(phir))</f>
        <v>-0.5</v>
      </c>
      <c r="L44" s="104">
        <f>PI()*(G44/10)^2/4</f>
        <v>4.908738521234052</v>
      </c>
      <c r="M44" s="105">
        <f>BB25</f>
        <v>-300</v>
      </c>
      <c r="N44" s="106"/>
      <c r="O44" s="106"/>
      <c r="P44" s="189"/>
      <c r="Q44" s="189"/>
      <c r="R44" s="199">
        <v>0.3</v>
      </c>
      <c r="S44" s="200">
        <v>0.75</v>
      </c>
      <c r="Y44" s="42">
        <v>45</v>
      </c>
      <c r="Z44" s="302">
        <v>3.8</v>
      </c>
      <c r="AA44" s="302">
        <v>36</v>
      </c>
      <c r="AB44" s="302">
        <v>3.5</v>
      </c>
      <c r="AC44" s="302">
        <v>2.4</v>
      </c>
      <c r="AD44" s="302">
        <v>3.5</v>
      </c>
      <c r="AE44" s="302">
        <v>2</v>
      </c>
      <c r="AF44" s="302">
        <v>2</v>
      </c>
      <c r="AG44" s="304">
        <f t="shared" si="13"/>
        <v>3.920000000000001</v>
      </c>
      <c r="AP44" s="144">
        <v>20</v>
      </c>
      <c r="AQ44" s="191">
        <f t="shared" si="6"/>
        <v>0</v>
      </c>
      <c r="AR44" s="189">
        <f t="shared" si="7"/>
        <v>0</v>
      </c>
      <c r="AS44" s="191">
        <f t="shared" si="8"/>
        <v>0</v>
      </c>
      <c r="AT44" s="191">
        <f t="shared" si="9"/>
        <v>0</v>
      </c>
      <c r="AU44" s="190">
        <f t="shared" si="10"/>
        <v>0</v>
      </c>
      <c r="AV44" s="191">
        <f t="shared" si="11"/>
        <v>-101.5988834466613</v>
      </c>
      <c r="AW44" s="190">
        <f t="shared" si="12"/>
        <v>0</v>
      </c>
      <c r="AX44" s="191">
        <f t="shared" si="1"/>
        <v>0</v>
      </c>
      <c r="AY44" s="190">
        <f t="shared" si="2"/>
        <v>0</v>
      </c>
      <c r="AZ44" s="191">
        <f t="shared" si="3"/>
        <v>0</v>
      </c>
      <c r="BA44" s="190">
        <f t="shared" si="4"/>
      </c>
      <c r="BB44" s="190">
        <f t="shared" si="5"/>
      </c>
    </row>
    <row r="45" spans="1:54" ht="12">
      <c r="A45" s="35">
        <v>2</v>
      </c>
      <c r="B45" s="10">
        <v>0</v>
      </c>
      <c r="C45" s="11">
        <v>1.2</v>
      </c>
      <c r="D45" s="107">
        <f t="shared" si="14"/>
        <v>-0.5</v>
      </c>
      <c r="E45" s="108">
        <f t="shared" si="15"/>
        <v>0.6</v>
      </c>
      <c r="F45" s="109">
        <f aca="true" t="shared" si="16" ref="F45:F75">BA26</f>
        <v>0</v>
      </c>
      <c r="G45" s="10">
        <v>25</v>
      </c>
      <c r="H45" s="13">
        <v>0.36</v>
      </c>
      <c r="I45" s="11">
        <v>0.1</v>
      </c>
      <c r="J45" s="107">
        <f>IF(A45&gt;Na,0,(H45-xg)*COS(phir)+(I45-yg)*SIN(phir))</f>
        <v>-0.14</v>
      </c>
      <c r="K45" s="110">
        <f>IF(A45&gt;Na,0,-(H45-xg)*SIN(phir)+(I45-yg)*COS(phir))</f>
        <v>-0.5</v>
      </c>
      <c r="L45" s="111">
        <f aca="true" t="shared" si="17" ref="L45:L75">IF(G45&gt;0,PI()*(G45/10)^2/4,"")</f>
        <v>4.908738521234052</v>
      </c>
      <c r="M45" s="112">
        <f>BB26</f>
        <v>-196.50241302993564</v>
      </c>
      <c r="N45" s="106"/>
      <c r="O45" s="106"/>
      <c r="P45" s="189"/>
      <c r="Q45" s="189"/>
      <c r="R45" s="199">
        <v>0</v>
      </c>
      <c r="S45" s="200">
        <v>0.75</v>
      </c>
      <c r="Y45" s="42">
        <v>50</v>
      </c>
      <c r="Z45" s="302">
        <v>4.1</v>
      </c>
      <c r="AA45" s="302">
        <v>37</v>
      </c>
      <c r="AB45" s="302">
        <v>3.5</v>
      </c>
      <c r="AC45" s="302">
        <v>2.45</v>
      </c>
      <c r="AD45" s="302">
        <v>3.5</v>
      </c>
      <c r="AE45" s="302">
        <v>2</v>
      </c>
      <c r="AF45" s="302">
        <v>2</v>
      </c>
      <c r="AG45" s="304">
        <f t="shared" si="13"/>
        <v>3.701541666666667</v>
      </c>
      <c r="AP45" s="144">
        <v>21</v>
      </c>
      <c r="AQ45" s="191">
        <f t="shared" si="6"/>
        <v>0</v>
      </c>
      <c r="AR45" s="189">
        <f t="shared" si="7"/>
        <v>0</v>
      </c>
      <c r="AS45" s="191">
        <f t="shared" si="8"/>
        <v>0</v>
      </c>
      <c r="AT45" s="191">
        <f t="shared" si="9"/>
        <v>0</v>
      </c>
      <c r="AU45" s="190">
        <f t="shared" si="10"/>
        <v>0</v>
      </c>
      <c r="AV45" s="191">
        <f t="shared" si="11"/>
        <v>-101.5988834466613</v>
      </c>
      <c r="AW45" s="190">
        <f t="shared" si="12"/>
        <v>0</v>
      </c>
      <c r="AX45" s="191">
        <f t="shared" si="1"/>
        <v>0</v>
      </c>
      <c r="AY45" s="190">
        <f t="shared" si="2"/>
        <v>0</v>
      </c>
      <c r="AZ45" s="191">
        <f t="shared" si="3"/>
        <v>0</v>
      </c>
      <c r="BA45" s="190">
        <f t="shared" si="4"/>
      </c>
      <c r="BB45" s="190">
        <f t="shared" si="5"/>
      </c>
    </row>
    <row r="46" spans="1:54" ht="12">
      <c r="A46" s="35">
        <v>3</v>
      </c>
      <c r="B46" s="10">
        <v>1</v>
      </c>
      <c r="C46" s="11">
        <v>1.2</v>
      </c>
      <c r="D46" s="107">
        <f t="shared" si="14"/>
        <v>0.5</v>
      </c>
      <c r="E46" s="108">
        <f t="shared" si="15"/>
        <v>0.6</v>
      </c>
      <c r="F46" s="109">
        <f t="shared" si="16"/>
        <v>9.62958730818791</v>
      </c>
      <c r="G46" s="10">
        <v>25</v>
      </c>
      <c r="H46" s="13">
        <v>0.64</v>
      </c>
      <c r="I46" s="11">
        <v>0.1</v>
      </c>
      <c r="J46" s="107">
        <f aca="true" t="shared" si="18" ref="J46:J75">IF(A46&gt;Na,0,(H46-xg)*COS(phir)+(I46-yg)*SIN(phir))</f>
        <v>0.14</v>
      </c>
      <c r="K46" s="110">
        <f aca="true" t="shared" si="19" ref="K46:K75">IF(A46&gt;Na,0,-(H46-xg)*SIN(phir)+(I46-yg)*COS(phir))</f>
        <v>-0.5</v>
      </c>
      <c r="L46" s="111">
        <f t="shared" si="17"/>
        <v>4.908738521234052</v>
      </c>
      <c r="M46" s="112">
        <f aca="true" t="shared" si="20" ref="M46:M75">BB27</f>
        <v>-85.04347321602022</v>
      </c>
      <c r="N46" s="106"/>
      <c r="O46" s="106"/>
      <c r="P46" s="189"/>
      <c r="Q46" s="189"/>
      <c r="R46" s="199">
        <v>0</v>
      </c>
      <c r="S46" s="200">
        <v>0.9</v>
      </c>
      <c r="Y46" s="42">
        <v>55</v>
      </c>
      <c r="Z46" s="302">
        <v>4.2</v>
      </c>
      <c r="AA46" s="302">
        <v>38</v>
      </c>
      <c r="AB46" s="302">
        <v>3.2</v>
      </c>
      <c r="AC46" s="302">
        <v>2.5</v>
      </c>
      <c r="AD46" s="302">
        <v>3.1</v>
      </c>
      <c r="AE46" s="302">
        <v>2.2</v>
      </c>
      <c r="AF46" s="302">
        <v>1.75</v>
      </c>
      <c r="AG46" s="304">
        <f t="shared" si="13"/>
        <v>3.526515151515152</v>
      </c>
      <c r="AL46" s="151"/>
      <c r="AP46" s="144">
        <v>22</v>
      </c>
      <c r="AQ46" s="191">
        <f t="shared" si="6"/>
        <v>0</v>
      </c>
      <c r="AR46" s="189">
        <f t="shared" si="7"/>
        <v>0</v>
      </c>
      <c r="AS46" s="191">
        <f t="shared" si="8"/>
        <v>0</v>
      </c>
      <c r="AT46" s="191">
        <f t="shared" si="9"/>
        <v>0</v>
      </c>
      <c r="AU46" s="190">
        <f t="shared" si="10"/>
        <v>0</v>
      </c>
      <c r="AV46" s="191">
        <f t="shared" si="11"/>
        <v>-101.5988834466613</v>
      </c>
      <c r="AW46" s="190">
        <f t="shared" si="12"/>
        <v>0</v>
      </c>
      <c r="AX46" s="191">
        <f t="shared" si="1"/>
        <v>0</v>
      </c>
      <c r="AY46" s="190">
        <f t="shared" si="2"/>
        <v>0</v>
      </c>
      <c r="AZ46" s="191">
        <f t="shared" si="3"/>
        <v>0</v>
      </c>
      <c r="BA46" s="190">
        <f t="shared" si="4"/>
      </c>
      <c r="BB46" s="190">
        <f t="shared" si="5"/>
      </c>
    </row>
    <row r="47" spans="1:54" ht="12">
      <c r="A47" s="35">
        <v>4</v>
      </c>
      <c r="B47" s="10">
        <v>1</v>
      </c>
      <c r="C47" s="11">
        <v>0</v>
      </c>
      <c r="D47" s="107">
        <f t="shared" si="14"/>
        <v>0.5</v>
      </c>
      <c r="E47" s="108">
        <f t="shared" si="15"/>
        <v>-0.6</v>
      </c>
      <c r="F47" s="109">
        <f t="shared" si="16"/>
        <v>3.361737744285368</v>
      </c>
      <c r="G47" s="10">
        <v>25</v>
      </c>
      <c r="H47" s="13">
        <v>0.9</v>
      </c>
      <c r="I47" s="11">
        <v>0.1</v>
      </c>
      <c r="J47" s="107">
        <f t="shared" si="18"/>
        <v>0.4</v>
      </c>
      <c r="K47" s="110">
        <f t="shared" si="19"/>
        <v>-0.5</v>
      </c>
      <c r="L47" s="111">
        <f t="shared" si="17"/>
        <v>4.908738521234052</v>
      </c>
      <c r="M47" s="112">
        <f t="shared" si="20"/>
        <v>18.454113754044116</v>
      </c>
      <c r="N47" s="106"/>
      <c r="O47" s="106"/>
      <c r="P47" s="189"/>
      <c r="Q47" s="189"/>
      <c r="R47" s="199">
        <v>0.8</v>
      </c>
      <c r="S47" s="200">
        <v>0.9</v>
      </c>
      <c r="Y47" s="42">
        <v>60</v>
      </c>
      <c r="Z47" s="302">
        <v>4.4</v>
      </c>
      <c r="AA47" s="302">
        <v>39</v>
      </c>
      <c r="AB47" s="302">
        <v>3</v>
      </c>
      <c r="AC47" s="302">
        <v>2.6</v>
      </c>
      <c r="AD47" s="302">
        <v>2.9</v>
      </c>
      <c r="AE47" s="302">
        <v>2.3</v>
      </c>
      <c r="AF47" s="302">
        <v>1.6</v>
      </c>
      <c r="AG47" s="304">
        <f t="shared" si="13"/>
        <v>3.450416666666668</v>
      </c>
      <c r="AL47" s="151"/>
      <c r="AP47" s="144">
        <v>23</v>
      </c>
      <c r="AQ47" s="191">
        <f t="shared" si="6"/>
        <v>0</v>
      </c>
      <c r="AR47" s="189">
        <f t="shared" si="7"/>
        <v>0</v>
      </c>
      <c r="AS47" s="191">
        <f t="shared" si="8"/>
        <v>0</v>
      </c>
      <c r="AT47" s="191">
        <f t="shared" si="9"/>
        <v>0</v>
      </c>
      <c r="AU47" s="190">
        <f t="shared" si="10"/>
        <v>0</v>
      </c>
      <c r="AV47" s="191">
        <f t="shared" si="11"/>
        <v>-101.5988834466613</v>
      </c>
      <c r="AW47" s="190">
        <f t="shared" si="12"/>
        <v>0</v>
      </c>
      <c r="AX47" s="191">
        <f t="shared" si="1"/>
        <v>0</v>
      </c>
      <c r="AY47" s="190">
        <f t="shared" si="2"/>
        <v>0</v>
      </c>
      <c r="AZ47" s="191">
        <f t="shared" si="3"/>
        <v>0</v>
      </c>
      <c r="BA47" s="190">
        <f t="shared" si="4"/>
      </c>
      <c r="BB47" s="190">
        <f t="shared" si="5"/>
      </c>
    </row>
    <row r="48" spans="1:54" ht="12">
      <c r="A48" s="35">
        <v>5</v>
      </c>
      <c r="B48" s="10"/>
      <c r="C48" s="11"/>
      <c r="D48" s="107">
        <f t="shared" si="14"/>
        <v>-0.5</v>
      </c>
      <c r="E48" s="108">
        <f t="shared" si="15"/>
        <v>-0.6</v>
      </c>
      <c r="F48" s="109">
        <f t="shared" si="16"/>
      </c>
      <c r="G48" s="10">
        <v>25</v>
      </c>
      <c r="H48" s="13">
        <v>0.1</v>
      </c>
      <c r="I48" s="11">
        <v>1.1</v>
      </c>
      <c r="J48" s="107">
        <f t="shared" si="18"/>
        <v>-0.4</v>
      </c>
      <c r="K48" s="110">
        <f t="shared" si="19"/>
        <v>0.5000000000000001</v>
      </c>
      <c r="L48" s="111">
        <f t="shared" si="17"/>
        <v>4.908738521234052</v>
      </c>
      <c r="M48" s="112">
        <f t="shared" si="20"/>
        <v>-221.65188064736668</v>
      </c>
      <c r="N48" s="106"/>
      <c r="O48" s="106"/>
      <c r="P48" s="189"/>
      <c r="Q48" s="189"/>
      <c r="R48" s="199">
        <v>0.8</v>
      </c>
      <c r="S48" s="200">
        <v>0.75</v>
      </c>
      <c r="Y48" s="42">
        <v>70</v>
      </c>
      <c r="Z48" s="302">
        <v>4.6</v>
      </c>
      <c r="AA48" s="302">
        <v>41</v>
      </c>
      <c r="AB48" s="302">
        <v>2.8</v>
      </c>
      <c r="AC48" s="302">
        <v>2.7</v>
      </c>
      <c r="AD48" s="302">
        <v>2.7</v>
      </c>
      <c r="AE48" s="302">
        <v>2.4</v>
      </c>
      <c r="AF48" s="302">
        <v>1.45</v>
      </c>
      <c r="AG48" s="304">
        <f t="shared" si="13"/>
        <v>3.2287500000000007</v>
      </c>
      <c r="AL48" s="151"/>
      <c r="AP48" s="144">
        <v>24</v>
      </c>
      <c r="AQ48" s="191">
        <f t="shared" si="6"/>
        <v>0</v>
      </c>
      <c r="AR48" s="189">
        <f t="shared" si="7"/>
        <v>0</v>
      </c>
      <c r="AS48" s="191">
        <f t="shared" si="8"/>
        <v>0</v>
      </c>
      <c r="AT48" s="191">
        <f t="shared" si="9"/>
        <v>0</v>
      </c>
      <c r="AU48" s="190">
        <f t="shared" si="10"/>
        <v>0</v>
      </c>
      <c r="AV48" s="191">
        <f t="shared" si="11"/>
        <v>-101.5988834466613</v>
      </c>
      <c r="AW48" s="190">
        <f t="shared" si="12"/>
        <v>0</v>
      </c>
      <c r="AX48" s="191">
        <f t="shared" si="1"/>
        <v>0</v>
      </c>
      <c r="AY48" s="190">
        <f t="shared" si="2"/>
        <v>0</v>
      </c>
      <c r="AZ48" s="191">
        <f t="shared" si="3"/>
        <v>0</v>
      </c>
      <c r="BA48" s="190">
        <f t="shared" si="4"/>
      </c>
      <c r="BB48" s="190">
        <f t="shared" si="5"/>
      </c>
    </row>
    <row r="49" spans="1:54" ht="12">
      <c r="A49" s="35">
        <v>6</v>
      </c>
      <c r="B49" s="10"/>
      <c r="C49" s="11"/>
      <c r="D49" s="107">
        <f t="shared" si="14"/>
        <v>0</v>
      </c>
      <c r="E49" s="108">
        <f t="shared" si="15"/>
        <v>0</v>
      </c>
      <c r="F49" s="109">
        <f t="shared" si="16"/>
      </c>
      <c r="G49" s="10">
        <v>25</v>
      </c>
      <c r="H49" s="13">
        <v>0.36</v>
      </c>
      <c r="I49" s="11">
        <v>1.1</v>
      </c>
      <c r="J49" s="107">
        <f t="shared" si="18"/>
        <v>-0.14</v>
      </c>
      <c r="K49" s="110">
        <f t="shared" si="19"/>
        <v>0.5000000000000001</v>
      </c>
      <c r="L49" s="111">
        <f t="shared" si="17"/>
        <v>4.908738521234052</v>
      </c>
      <c r="M49" s="112">
        <f t="shared" si="20"/>
        <v>-118.15429367730238</v>
      </c>
      <c r="N49" s="106"/>
      <c r="O49" s="106"/>
      <c r="P49" s="189"/>
      <c r="Q49" s="189"/>
      <c r="R49" s="199">
        <v>0.5</v>
      </c>
      <c r="S49" s="200">
        <v>0.75</v>
      </c>
      <c r="Y49" s="42">
        <v>80</v>
      </c>
      <c r="Z49" s="302">
        <v>4.8</v>
      </c>
      <c r="AA49" s="302">
        <v>42</v>
      </c>
      <c r="AB49" s="302">
        <v>2.8</v>
      </c>
      <c r="AC49" s="302">
        <v>2.8</v>
      </c>
      <c r="AD49" s="302">
        <v>2.6</v>
      </c>
      <c r="AE49" s="302">
        <v>2.5</v>
      </c>
      <c r="AF49" s="302">
        <v>1.4</v>
      </c>
      <c r="AG49" s="304">
        <f t="shared" si="13"/>
        <v>3.0012499999999998</v>
      </c>
      <c r="AL49" s="151"/>
      <c r="AP49" s="144">
        <v>25</v>
      </c>
      <c r="AQ49" s="191">
        <f t="shared" si="6"/>
        <v>0</v>
      </c>
      <c r="AR49" s="189">
        <f t="shared" si="7"/>
        <v>0</v>
      </c>
      <c r="AS49" s="191">
        <f t="shared" si="8"/>
        <v>0</v>
      </c>
      <c r="AT49" s="191">
        <f t="shared" si="9"/>
        <v>0</v>
      </c>
      <c r="AU49" s="190">
        <f t="shared" si="10"/>
        <v>0</v>
      </c>
      <c r="AV49" s="191">
        <f t="shared" si="11"/>
        <v>-101.5988834466613</v>
      </c>
      <c r="AW49" s="190">
        <f t="shared" si="12"/>
        <v>0</v>
      </c>
      <c r="AX49" s="191">
        <f t="shared" si="1"/>
        <v>0</v>
      </c>
      <c r="AY49" s="190">
        <f t="shared" si="2"/>
        <v>0</v>
      </c>
      <c r="AZ49" s="191">
        <f t="shared" si="3"/>
        <v>0</v>
      </c>
      <c r="BA49" s="190">
        <f t="shared" si="4"/>
      </c>
      <c r="BB49" s="190">
        <f t="shared" si="5"/>
      </c>
    </row>
    <row r="50" spans="1:54" ht="12">
      <c r="A50" s="35">
        <v>7</v>
      </c>
      <c r="B50" s="10"/>
      <c r="C50" s="11"/>
      <c r="D50" s="107">
        <f t="shared" si="14"/>
        <v>0</v>
      </c>
      <c r="E50" s="108">
        <f t="shared" si="15"/>
        <v>0</v>
      </c>
      <c r="F50" s="109">
        <f t="shared" si="16"/>
      </c>
      <c r="G50" s="10">
        <v>25</v>
      </c>
      <c r="H50" s="13">
        <v>0.64</v>
      </c>
      <c r="I50" s="11">
        <v>1.1</v>
      </c>
      <c r="J50" s="107">
        <f t="shared" si="18"/>
        <v>0.14</v>
      </c>
      <c r="K50" s="110">
        <f t="shared" si="19"/>
        <v>0.5000000000000001</v>
      </c>
      <c r="L50" s="111">
        <f t="shared" si="17"/>
        <v>4.908738521234052</v>
      </c>
      <c r="M50" s="112">
        <f t="shared" si="20"/>
        <v>-6.695353863386923</v>
      </c>
      <c r="N50" s="106"/>
      <c r="O50" s="106"/>
      <c r="P50" s="189"/>
      <c r="Q50" s="189"/>
      <c r="R50" s="199">
        <v>0.5</v>
      </c>
      <c r="S50" s="200">
        <v>0.2</v>
      </c>
      <c r="Y50" s="77">
        <v>90</v>
      </c>
      <c r="Z50" s="306">
        <v>5</v>
      </c>
      <c r="AA50" s="306">
        <v>44</v>
      </c>
      <c r="AB50" s="306">
        <v>2.8</v>
      </c>
      <c r="AC50" s="306">
        <v>2.8</v>
      </c>
      <c r="AD50" s="306">
        <v>2.6</v>
      </c>
      <c r="AE50" s="306">
        <v>2.6</v>
      </c>
      <c r="AF50" s="306">
        <v>1.4</v>
      </c>
      <c r="AG50" s="307">
        <f t="shared" si="13"/>
        <v>2.7948148148148153</v>
      </c>
      <c r="AL50" s="151"/>
      <c r="AP50" s="144">
        <v>26</v>
      </c>
      <c r="AQ50" s="191">
        <f t="shared" si="6"/>
        <v>0</v>
      </c>
      <c r="AR50" s="189">
        <f t="shared" si="7"/>
        <v>0</v>
      </c>
      <c r="AS50" s="191">
        <f t="shared" si="8"/>
        <v>0</v>
      </c>
      <c r="AT50" s="191">
        <f t="shared" si="9"/>
        <v>0</v>
      </c>
      <c r="AU50" s="190">
        <f t="shared" si="10"/>
        <v>0</v>
      </c>
      <c r="AV50" s="191">
        <f t="shared" si="11"/>
        <v>-101.5988834466613</v>
      </c>
      <c r="AW50" s="190">
        <f t="shared" si="12"/>
        <v>0</v>
      </c>
      <c r="AX50" s="191">
        <f t="shared" si="1"/>
        <v>0</v>
      </c>
      <c r="AY50" s="190">
        <f t="shared" si="2"/>
        <v>0</v>
      </c>
      <c r="AZ50" s="191">
        <f t="shared" si="3"/>
        <v>0</v>
      </c>
      <c r="BA50" s="190">
        <f t="shared" si="4"/>
      </c>
      <c r="BB50" s="190">
        <f t="shared" si="5"/>
      </c>
    </row>
    <row r="51" spans="1:54" ht="12">
      <c r="A51" s="35">
        <v>8</v>
      </c>
      <c r="B51" s="10"/>
      <c r="C51" s="11"/>
      <c r="D51" s="107">
        <f t="shared" si="14"/>
        <v>0</v>
      </c>
      <c r="E51" s="108">
        <f t="shared" si="15"/>
        <v>0</v>
      </c>
      <c r="F51" s="109">
        <f t="shared" si="16"/>
      </c>
      <c r="G51" s="10">
        <v>25</v>
      </c>
      <c r="H51" s="13">
        <v>0.9</v>
      </c>
      <c r="I51" s="11">
        <v>1.1</v>
      </c>
      <c r="J51" s="107">
        <f t="shared" si="18"/>
        <v>0.4</v>
      </c>
      <c r="K51" s="110">
        <f t="shared" si="19"/>
        <v>0.5000000000000001</v>
      </c>
      <c r="L51" s="111">
        <f t="shared" si="17"/>
        <v>4.908738521234052</v>
      </c>
      <c r="M51" s="112">
        <f t="shared" si="20"/>
        <v>96.80223310667743</v>
      </c>
      <c r="N51" s="106"/>
      <c r="O51" s="106"/>
      <c r="P51" s="189"/>
      <c r="Q51" s="189"/>
      <c r="R51" s="199">
        <v>0.6</v>
      </c>
      <c r="S51" s="200">
        <v>0.2</v>
      </c>
      <c r="Y51" s="253"/>
      <c r="Z51" s="253"/>
      <c r="AA51" s="253"/>
      <c r="AB51" s="253"/>
      <c r="AC51" s="151"/>
      <c r="AD51" s="151"/>
      <c r="AE51" s="151"/>
      <c r="AF51" s="151"/>
      <c r="AP51" s="144">
        <v>27</v>
      </c>
      <c r="AQ51" s="191">
        <f t="shared" si="6"/>
        <v>0</v>
      </c>
      <c r="AR51" s="189">
        <f t="shared" si="7"/>
        <v>0</v>
      </c>
      <c r="AS51" s="191">
        <f t="shared" si="8"/>
        <v>0</v>
      </c>
      <c r="AT51" s="191">
        <f t="shared" si="9"/>
        <v>0</v>
      </c>
      <c r="AU51" s="190">
        <f t="shared" si="10"/>
        <v>0</v>
      </c>
      <c r="AV51" s="191">
        <f t="shared" si="11"/>
        <v>-101.5988834466613</v>
      </c>
      <c r="AW51" s="190">
        <f t="shared" si="12"/>
        <v>0</v>
      </c>
      <c r="AX51" s="191">
        <f t="shared" si="1"/>
        <v>0</v>
      </c>
      <c r="AY51" s="190">
        <f t="shared" si="2"/>
        <v>0</v>
      </c>
      <c r="AZ51" s="191">
        <f t="shared" si="3"/>
        <v>0</v>
      </c>
      <c r="BA51" s="190">
        <f t="shared" si="4"/>
      </c>
      <c r="BB51" s="190">
        <f t="shared" si="5"/>
      </c>
    </row>
    <row r="52" spans="1:54" ht="12">
      <c r="A52" s="35">
        <v>9</v>
      </c>
      <c r="B52" s="10"/>
      <c r="C52" s="11"/>
      <c r="D52" s="107">
        <f t="shared" si="14"/>
        <v>0</v>
      </c>
      <c r="E52" s="108">
        <f t="shared" si="15"/>
        <v>0</v>
      </c>
      <c r="F52" s="109">
        <f t="shared" si="16"/>
      </c>
      <c r="G52" s="10">
        <v>25</v>
      </c>
      <c r="H52" s="13">
        <v>0.1</v>
      </c>
      <c r="I52" s="11">
        <v>0.35</v>
      </c>
      <c r="J52" s="107">
        <f t="shared" si="18"/>
        <v>-0.4</v>
      </c>
      <c r="K52" s="110">
        <f t="shared" si="19"/>
        <v>-0.25</v>
      </c>
      <c r="L52" s="111">
        <f t="shared" si="17"/>
        <v>4.908738521234052</v>
      </c>
      <c r="M52" s="112">
        <f t="shared" si="20"/>
        <v>-280.4129701618417</v>
      </c>
      <c r="N52" s="106"/>
      <c r="O52" s="106"/>
      <c r="P52" s="189"/>
      <c r="Q52" s="189"/>
      <c r="R52" s="199">
        <v>0.6</v>
      </c>
      <c r="S52" s="200">
        <v>0</v>
      </c>
      <c r="Y52" s="253"/>
      <c r="Z52" s="253"/>
      <c r="AA52" s="253"/>
      <c r="AB52" s="253"/>
      <c r="AC52" s="151"/>
      <c r="AD52" s="151"/>
      <c r="AE52" s="151"/>
      <c r="AF52" s="151"/>
      <c r="AP52" s="144">
        <v>28</v>
      </c>
      <c r="AQ52" s="191">
        <f t="shared" si="6"/>
        <v>0</v>
      </c>
      <c r="AR52" s="189">
        <f t="shared" si="7"/>
        <v>0</v>
      </c>
      <c r="AS52" s="191">
        <f t="shared" si="8"/>
        <v>0</v>
      </c>
      <c r="AT52" s="191">
        <f t="shared" si="9"/>
        <v>0</v>
      </c>
      <c r="AU52" s="190">
        <f t="shared" si="10"/>
        <v>0</v>
      </c>
      <c r="AV52" s="191">
        <f t="shared" si="11"/>
        <v>-101.5988834466613</v>
      </c>
      <c r="AW52" s="190">
        <f t="shared" si="12"/>
        <v>0</v>
      </c>
      <c r="AX52" s="191">
        <f t="shared" si="1"/>
        <v>0</v>
      </c>
      <c r="AY52" s="190">
        <f t="shared" si="2"/>
        <v>0</v>
      </c>
      <c r="AZ52" s="191">
        <f t="shared" si="3"/>
        <v>0</v>
      </c>
      <c r="BA52" s="190">
        <f t="shared" si="4"/>
      </c>
      <c r="BB52" s="190">
        <f t="shared" si="5"/>
      </c>
    </row>
    <row r="53" spans="1:54" ht="12">
      <c r="A53" s="35">
        <v>10</v>
      </c>
      <c r="B53" s="10"/>
      <c r="C53" s="11"/>
      <c r="D53" s="107">
        <f t="shared" si="14"/>
        <v>0</v>
      </c>
      <c r="E53" s="108">
        <f t="shared" si="15"/>
        <v>0</v>
      </c>
      <c r="F53" s="109">
        <f t="shared" si="16"/>
      </c>
      <c r="G53" s="10">
        <v>25</v>
      </c>
      <c r="H53" s="13">
        <v>0.9</v>
      </c>
      <c r="I53" s="11">
        <v>0.36</v>
      </c>
      <c r="J53" s="107">
        <f t="shared" si="18"/>
        <v>0.4</v>
      </c>
      <c r="K53" s="110">
        <f t="shared" si="19"/>
        <v>-0.24</v>
      </c>
      <c r="L53" s="111">
        <f t="shared" si="17"/>
        <v>4.908738521234052</v>
      </c>
      <c r="M53" s="112">
        <f t="shared" si="20"/>
        <v>38.82462478572878</v>
      </c>
      <c r="N53" s="106"/>
      <c r="O53" s="106"/>
      <c r="P53" s="189"/>
      <c r="Q53" s="189"/>
      <c r="R53" s="189"/>
      <c r="Y53" s="253"/>
      <c r="Z53" s="253"/>
      <c r="AA53" s="253"/>
      <c r="AB53" s="253"/>
      <c r="AC53" s="151"/>
      <c r="AD53" s="151"/>
      <c r="AE53" s="151"/>
      <c r="AF53" s="151"/>
      <c r="AP53" s="144">
        <v>29</v>
      </c>
      <c r="AQ53" s="191">
        <f t="shared" si="6"/>
        <v>0</v>
      </c>
      <c r="AR53" s="189">
        <f t="shared" si="7"/>
        <v>0</v>
      </c>
      <c r="AS53" s="191">
        <f t="shared" si="8"/>
        <v>0</v>
      </c>
      <c r="AT53" s="191">
        <f t="shared" si="9"/>
        <v>0</v>
      </c>
      <c r="AU53" s="190">
        <f t="shared" si="10"/>
        <v>0</v>
      </c>
      <c r="AV53" s="191">
        <f t="shared" si="11"/>
        <v>-101.5988834466613</v>
      </c>
      <c r="AW53" s="190">
        <f t="shared" si="12"/>
        <v>0</v>
      </c>
      <c r="AX53" s="191">
        <f t="shared" si="1"/>
        <v>0</v>
      </c>
      <c r="AY53" s="190">
        <f t="shared" si="2"/>
        <v>0</v>
      </c>
      <c r="AZ53" s="191">
        <f t="shared" si="3"/>
        <v>0</v>
      </c>
      <c r="BA53" s="190">
        <f t="shared" si="4"/>
      </c>
      <c r="BB53" s="190">
        <f t="shared" si="5"/>
      </c>
    </row>
    <row r="54" spans="1:54" ht="12">
      <c r="A54" s="35">
        <v>11</v>
      </c>
      <c r="B54" s="10"/>
      <c r="C54" s="11"/>
      <c r="D54" s="107">
        <f t="shared" si="14"/>
        <v>0</v>
      </c>
      <c r="E54" s="108">
        <f t="shared" si="15"/>
        <v>0</v>
      </c>
      <c r="F54" s="109">
        <f t="shared" si="16"/>
      </c>
      <c r="G54" s="10">
        <v>25</v>
      </c>
      <c r="H54" s="13">
        <v>0.1</v>
      </c>
      <c r="I54" s="11">
        <v>0.6</v>
      </c>
      <c r="J54" s="107">
        <f t="shared" si="18"/>
        <v>-0.4</v>
      </c>
      <c r="K54" s="110">
        <f t="shared" si="19"/>
        <v>0</v>
      </c>
      <c r="L54" s="111">
        <f t="shared" si="17"/>
        <v>4.908738521234052</v>
      </c>
      <c r="M54" s="112">
        <f t="shared" si="20"/>
        <v>-260.82594032368337</v>
      </c>
      <c r="N54" s="139"/>
      <c r="O54" s="139"/>
      <c r="P54" s="189"/>
      <c r="Q54" s="189"/>
      <c r="R54" s="201" t="s">
        <v>205</v>
      </c>
      <c r="S54" s="202"/>
      <c r="T54" s="254"/>
      <c r="Y54" s="253"/>
      <c r="Z54" s="253"/>
      <c r="AA54" s="253"/>
      <c r="AB54" s="253"/>
      <c r="AC54" s="151"/>
      <c r="AD54" s="151"/>
      <c r="AE54" s="151"/>
      <c r="AF54" s="151"/>
      <c r="AP54" s="144">
        <v>30</v>
      </c>
      <c r="AQ54" s="191">
        <f t="shared" si="6"/>
        <v>0</v>
      </c>
      <c r="AR54" s="189">
        <f t="shared" si="7"/>
        <v>0</v>
      </c>
      <c r="AS54" s="191">
        <f t="shared" si="8"/>
        <v>0</v>
      </c>
      <c r="AT54" s="191">
        <f t="shared" si="9"/>
        <v>0</v>
      </c>
      <c r="AU54" s="190">
        <f t="shared" si="10"/>
        <v>0</v>
      </c>
      <c r="AV54" s="191">
        <f t="shared" si="11"/>
        <v>-101.5988834466613</v>
      </c>
      <c r="AW54" s="190">
        <f t="shared" si="12"/>
        <v>0</v>
      </c>
      <c r="AX54" s="191">
        <f t="shared" si="1"/>
        <v>0</v>
      </c>
      <c r="AY54" s="190">
        <f t="shared" si="2"/>
        <v>0</v>
      </c>
      <c r="AZ54" s="191">
        <f t="shared" si="3"/>
        <v>0</v>
      </c>
      <c r="BA54" s="190">
        <f t="shared" si="4"/>
      </c>
      <c r="BB54" s="190">
        <f t="shared" si="5"/>
      </c>
    </row>
    <row r="55" spans="1:54" ht="12">
      <c r="A55" s="35">
        <v>12</v>
      </c>
      <c r="B55" s="10"/>
      <c r="C55" s="11"/>
      <c r="D55" s="107">
        <f t="shared" si="14"/>
        <v>0</v>
      </c>
      <c r="E55" s="108">
        <f t="shared" si="15"/>
        <v>0</v>
      </c>
      <c r="F55" s="109">
        <f t="shared" si="16"/>
      </c>
      <c r="G55" s="10">
        <v>25</v>
      </c>
      <c r="H55" s="13">
        <v>0.9</v>
      </c>
      <c r="I55" s="11">
        <v>0.6</v>
      </c>
      <c r="J55" s="107">
        <f t="shared" si="18"/>
        <v>0.4</v>
      </c>
      <c r="K55" s="110">
        <f t="shared" si="19"/>
        <v>0</v>
      </c>
      <c r="L55" s="111">
        <f t="shared" si="17"/>
        <v>4.908738521234052</v>
      </c>
      <c r="M55" s="112">
        <f t="shared" si="20"/>
        <v>57.628173430360754</v>
      </c>
      <c r="N55" s="106"/>
      <c r="O55" s="106"/>
      <c r="P55" s="189"/>
      <c r="Q55" s="189"/>
      <c r="R55" s="153" t="s">
        <v>26</v>
      </c>
      <c r="S55" s="167" t="s">
        <v>218</v>
      </c>
      <c r="T55" s="243" t="s">
        <v>219</v>
      </c>
      <c r="Y55" s="253"/>
      <c r="Z55" s="253"/>
      <c r="AA55" s="253"/>
      <c r="AB55" s="253"/>
      <c r="AC55" s="151"/>
      <c r="AD55" s="151"/>
      <c r="AE55" s="151"/>
      <c r="AF55" s="151"/>
      <c r="AP55" s="144">
        <v>31</v>
      </c>
      <c r="AQ55" s="191">
        <f t="shared" si="6"/>
        <v>0</v>
      </c>
      <c r="AR55" s="189">
        <f t="shared" si="7"/>
        <v>0</v>
      </c>
      <c r="AS55" s="191">
        <f t="shared" si="8"/>
        <v>0</v>
      </c>
      <c r="AT55" s="191">
        <f t="shared" si="9"/>
        <v>0</v>
      </c>
      <c r="AU55" s="190">
        <f t="shared" si="10"/>
        <v>0</v>
      </c>
      <c r="AV55" s="191">
        <f t="shared" si="11"/>
        <v>-101.5988834466613</v>
      </c>
      <c r="AW55" s="190">
        <f t="shared" si="12"/>
        <v>0</v>
      </c>
      <c r="AX55" s="191">
        <f t="shared" si="1"/>
        <v>0</v>
      </c>
      <c r="AY55" s="190">
        <f t="shared" si="2"/>
        <v>0</v>
      </c>
      <c r="AZ55" s="191">
        <f t="shared" si="3"/>
        <v>0</v>
      </c>
      <c r="BA55" s="190">
        <f t="shared" si="4"/>
      </c>
      <c r="BB55" s="190">
        <f t="shared" si="5"/>
      </c>
    </row>
    <row r="56" spans="1:55" ht="12.75" thickBot="1">
      <c r="A56" s="35">
        <v>13</v>
      </c>
      <c r="B56" s="10"/>
      <c r="C56" s="11"/>
      <c r="D56" s="107">
        <f t="shared" si="14"/>
        <v>0</v>
      </c>
      <c r="E56" s="108">
        <f t="shared" si="15"/>
        <v>0</v>
      </c>
      <c r="F56" s="109">
        <f t="shared" si="16"/>
      </c>
      <c r="G56" s="10">
        <v>25</v>
      </c>
      <c r="H56" s="13">
        <v>0.1</v>
      </c>
      <c r="I56" s="11">
        <v>0.85</v>
      </c>
      <c r="J56" s="107">
        <f t="shared" si="18"/>
        <v>-0.4</v>
      </c>
      <c r="K56" s="110">
        <f t="shared" si="19"/>
        <v>0.25</v>
      </c>
      <c r="L56" s="111">
        <f t="shared" si="17"/>
        <v>4.908738521234052</v>
      </c>
      <c r="M56" s="112">
        <f t="shared" si="20"/>
        <v>-241.23891048552508</v>
      </c>
      <c r="N56" s="140"/>
      <c r="O56" s="140"/>
      <c r="P56" s="203"/>
      <c r="Q56" s="203"/>
      <c r="R56" s="204" t="s">
        <v>221</v>
      </c>
      <c r="S56" s="205" t="s">
        <v>220</v>
      </c>
      <c r="T56" s="255" t="s">
        <v>220</v>
      </c>
      <c r="U56" s="237"/>
      <c r="V56" s="237"/>
      <c r="W56" s="237"/>
      <c r="X56" s="237"/>
      <c r="Y56" s="256"/>
      <c r="Z56" s="256"/>
      <c r="AA56" s="256"/>
      <c r="AB56" s="256"/>
      <c r="AC56" s="206"/>
      <c r="AD56" s="206"/>
      <c r="AE56" s="206"/>
      <c r="AF56" s="206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>
        <v>32</v>
      </c>
      <c r="AQ56" s="207">
        <f t="shared" si="6"/>
        <v>0</v>
      </c>
      <c r="AR56" s="208">
        <f t="shared" si="7"/>
        <v>0</v>
      </c>
      <c r="AS56" s="207">
        <f t="shared" si="8"/>
        <v>0</v>
      </c>
      <c r="AT56" s="207">
        <f t="shared" si="9"/>
        <v>0</v>
      </c>
      <c r="AU56" s="209">
        <f t="shared" si="10"/>
        <v>0</v>
      </c>
      <c r="AV56" s="207">
        <f t="shared" si="11"/>
        <v>-101.5988834466613</v>
      </c>
      <c r="AW56" s="209">
        <f t="shared" si="12"/>
        <v>0</v>
      </c>
      <c r="AX56" s="207">
        <f t="shared" si="1"/>
        <v>0</v>
      </c>
      <c r="AY56" s="209">
        <f t="shared" si="2"/>
        <v>0</v>
      </c>
      <c r="AZ56" s="207">
        <f t="shared" si="3"/>
        <v>0</v>
      </c>
      <c r="BA56" s="209">
        <f t="shared" si="4"/>
      </c>
      <c r="BB56" s="209">
        <f t="shared" si="5"/>
      </c>
      <c r="BC56" s="145"/>
    </row>
    <row r="57" spans="1:54" ht="12.75" thickTop="1">
      <c r="A57" s="35">
        <v>14</v>
      </c>
      <c r="B57" s="10"/>
      <c r="C57" s="11"/>
      <c r="D57" s="107">
        <f t="shared" si="14"/>
        <v>0</v>
      </c>
      <c r="E57" s="108">
        <f t="shared" si="15"/>
        <v>0</v>
      </c>
      <c r="F57" s="109">
        <f t="shared" si="16"/>
      </c>
      <c r="G57" s="10">
        <v>25</v>
      </c>
      <c r="H57" s="13">
        <v>0.9</v>
      </c>
      <c r="I57" s="11">
        <v>0.85</v>
      </c>
      <c r="J57" s="107">
        <f t="shared" si="18"/>
        <v>0.4</v>
      </c>
      <c r="K57" s="110">
        <f t="shared" si="19"/>
        <v>0.25</v>
      </c>
      <c r="L57" s="111">
        <f t="shared" si="17"/>
        <v>4.908738521234052</v>
      </c>
      <c r="M57" s="112">
        <f t="shared" si="20"/>
        <v>77.21520326851906</v>
      </c>
      <c r="N57" s="106"/>
      <c r="O57" s="106"/>
      <c r="P57" s="189"/>
      <c r="Q57" s="189"/>
      <c r="R57" s="197">
        <v>20</v>
      </c>
      <c r="S57" s="210">
        <v>0.23</v>
      </c>
      <c r="T57" s="257">
        <v>0.03</v>
      </c>
      <c r="Y57" s="253"/>
      <c r="Z57" s="253"/>
      <c r="AA57" s="253"/>
      <c r="AB57" s="253"/>
      <c r="AC57" s="151"/>
      <c r="AD57" s="151"/>
      <c r="AE57" s="151"/>
      <c r="AF57" s="151"/>
      <c r="AP57" s="143" t="s">
        <v>189</v>
      </c>
      <c r="AQ57" s="211">
        <f>MAX(AQ25:AQ56)</f>
        <v>47.1345</v>
      </c>
      <c r="AR57" s="212">
        <f>MAX(AR25:AR56)</f>
        <v>567.30575</v>
      </c>
      <c r="AS57" s="213">
        <f aca="true" t="shared" si="21" ref="AS57:BB57">MAX(AS25:AS56)</f>
        <v>5.583522621235851</v>
      </c>
      <c r="AT57" s="212">
        <f t="shared" si="21"/>
        <v>68.54379941020734</v>
      </c>
      <c r="AU57" s="213">
        <f t="shared" si="21"/>
        <v>9.62958730818791</v>
      </c>
      <c r="AV57" s="212">
        <f t="shared" si="21"/>
        <v>96.80223310667743</v>
      </c>
      <c r="AW57" s="213">
        <f t="shared" si="21"/>
        <v>0</v>
      </c>
      <c r="AX57" s="212">
        <f t="shared" si="21"/>
        <v>0</v>
      </c>
      <c r="AY57" s="213">
        <f t="shared" si="21"/>
        <v>0</v>
      </c>
      <c r="AZ57" s="212">
        <f t="shared" si="21"/>
        <v>0</v>
      </c>
      <c r="BA57" s="213">
        <f t="shared" si="21"/>
        <v>9.62958730818791</v>
      </c>
      <c r="BB57" s="212">
        <f t="shared" si="21"/>
        <v>96.80223310667743</v>
      </c>
    </row>
    <row r="58" spans="1:54" ht="12">
      <c r="A58" s="35">
        <v>15</v>
      </c>
      <c r="B58" s="10"/>
      <c r="C58" s="11"/>
      <c r="D58" s="107">
        <f t="shared" si="14"/>
        <v>0</v>
      </c>
      <c r="E58" s="108">
        <f t="shared" si="15"/>
        <v>0</v>
      </c>
      <c r="F58" s="109">
        <f t="shared" si="16"/>
      </c>
      <c r="G58" s="10"/>
      <c r="H58" s="13"/>
      <c r="I58" s="11"/>
      <c r="J58" s="107">
        <f t="shared" si="18"/>
        <v>0</v>
      </c>
      <c r="K58" s="110">
        <f t="shared" si="19"/>
        <v>0</v>
      </c>
      <c r="L58" s="111">
        <f t="shared" si="17"/>
      </c>
      <c r="M58" s="112">
        <f t="shared" si="20"/>
      </c>
      <c r="N58" s="106"/>
      <c r="O58" s="106"/>
      <c r="P58" s="189"/>
      <c r="Q58" s="189"/>
      <c r="R58" s="199">
        <v>20</v>
      </c>
      <c r="S58" s="214">
        <v>0.33</v>
      </c>
      <c r="T58" s="258">
        <v>0.03</v>
      </c>
      <c r="Y58" s="253"/>
      <c r="Z58" s="253"/>
      <c r="AA58" s="253"/>
      <c r="AB58" s="253"/>
      <c r="AC58" s="151"/>
      <c r="AD58" s="151"/>
      <c r="AE58" s="151"/>
      <c r="AF58" s="151"/>
      <c r="AH58" s="144" t="s">
        <v>186</v>
      </c>
      <c r="AJ58" s="161" t="str">
        <f>LEFT(INDEX(AT61:AT64,cas),2)</f>
        <v>PT</v>
      </c>
      <c r="AP58" s="143" t="s">
        <v>190</v>
      </c>
      <c r="AQ58" s="215">
        <f>MIN(AQ25:AQ56)</f>
        <v>-46.4645</v>
      </c>
      <c r="AR58" s="216">
        <f>MIN(AR25:AR56)</f>
        <v>-557.25575</v>
      </c>
      <c r="AS58" s="217">
        <f aca="true" t="shared" si="22" ref="AS58:BB58">MIN(AS25:AS56)</f>
        <v>-4.966524554726682</v>
      </c>
      <c r="AT58" s="216">
        <f t="shared" si="22"/>
        <v>-59.2888284125698</v>
      </c>
      <c r="AU58" s="217">
        <f t="shared" si="22"/>
        <v>0</v>
      </c>
      <c r="AV58" s="216">
        <f t="shared" si="22"/>
        <v>-300</v>
      </c>
      <c r="AW58" s="217">
        <f t="shared" si="22"/>
        <v>0</v>
      </c>
      <c r="AX58" s="216">
        <f t="shared" si="22"/>
        <v>0</v>
      </c>
      <c r="AY58" s="217">
        <f t="shared" si="22"/>
        <v>0</v>
      </c>
      <c r="AZ58" s="216">
        <f t="shared" si="22"/>
        <v>0</v>
      </c>
      <c r="BA58" s="217">
        <f t="shared" si="22"/>
        <v>0</v>
      </c>
      <c r="BB58" s="216">
        <f t="shared" si="22"/>
        <v>-300</v>
      </c>
    </row>
    <row r="59" spans="1:46" ht="12">
      <c r="A59" s="35">
        <v>16</v>
      </c>
      <c r="B59" s="10"/>
      <c r="C59" s="11"/>
      <c r="D59" s="107">
        <f t="shared" si="14"/>
        <v>0</v>
      </c>
      <c r="E59" s="108">
        <f t="shared" si="15"/>
        <v>0</v>
      </c>
      <c r="F59" s="109">
        <f t="shared" si="16"/>
      </c>
      <c r="G59" s="10"/>
      <c r="H59" s="13"/>
      <c r="I59" s="11"/>
      <c r="J59" s="107">
        <f t="shared" si="18"/>
        <v>0</v>
      </c>
      <c r="K59" s="110">
        <f t="shared" si="19"/>
        <v>0</v>
      </c>
      <c r="L59" s="111">
        <f t="shared" si="17"/>
      </c>
      <c r="M59" s="112">
        <f t="shared" si="20"/>
      </c>
      <c r="N59" s="106"/>
      <c r="O59" s="106"/>
      <c r="P59" s="189"/>
      <c r="Q59" s="189"/>
      <c r="R59" s="199">
        <v>20</v>
      </c>
      <c r="S59" s="214">
        <v>0.47</v>
      </c>
      <c r="T59" s="258">
        <v>0.03</v>
      </c>
      <c r="Y59" s="253"/>
      <c r="Z59" s="253"/>
      <c r="AA59" s="253"/>
      <c r="AB59" s="253"/>
      <c r="AC59" s="151"/>
      <c r="AD59" s="151"/>
      <c r="AE59" s="151"/>
      <c r="AF59" s="151"/>
      <c r="AH59" s="144" t="s">
        <v>185</v>
      </c>
      <c r="AI59" s="147"/>
      <c r="AJ59" s="218"/>
      <c r="AP59" s="151"/>
      <c r="AQ59" s="151"/>
      <c r="AR59" s="151"/>
      <c r="AS59" s="219"/>
      <c r="AT59" s="193"/>
    </row>
    <row r="60" spans="1:49" ht="12">
      <c r="A60" s="35">
        <v>17</v>
      </c>
      <c r="B60" s="10"/>
      <c r="C60" s="11"/>
      <c r="D60" s="107">
        <f t="shared" si="14"/>
        <v>0</v>
      </c>
      <c r="E60" s="108">
        <f t="shared" si="15"/>
        <v>0</v>
      </c>
      <c r="F60" s="109">
        <f t="shared" si="16"/>
      </c>
      <c r="G60" s="10"/>
      <c r="H60" s="13"/>
      <c r="I60" s="11"/>
      <c r="J60" s="107">
        <f t="shared" si="18"/>
        <v>0</v>
      </c>
      <c r="K60" s="110">
        <f t="shared" si="19"/>
        <v>0</v>
      </c>
      <c r="L60" s="111">
        <f t="shared" si="17"/>
      </c>
      <c r="M60" s="112">
        <f t="shared" si="20"/>
      </c>
      <c r="N60" s="106"/>
      <c r="O60" s="106"/>
      <c r="P60" s="189"/>
      <c r="Q60" s="189"/>
      <c r="R60" s="199">
        <v>20</v>
      </c>
      <c r="S60" s="214">
        <v>0.57</v>
      </c>
      <c r="T60" s="258">
        <v>0.03</v>
      </c>
      <c r="Y60" s="253"/>
      <c r="Z60" s="253"/>
      <c r="AA60" s="253"/>
      <c r="AB60" s="253"/>
      <c r="AC60" s="151"/>
      <c r="AD60" s="151"/>
      <c r="AE60" s="151"/>
      <c r="AF60" s="151"/>
      <c r="AH60" s="144" t="s">
        <v>187</v>
      </c>
      <c r="AI60" s="147"/>
      <c r="AP60" s="151"/>
      <c r="AQ60" s="151"/>
      <c r="AR60" s="151"/>
      <c r="AS60" s="171"/>
      <c r="AT60" s="220" t="s">
        <v>55</v>
      </c>
      <c r="AU60" s="221">
        <f>MAX(AS20:AZ20)</f>
        <v>2</v>
      </c>
      <c r="AV60" s="171" t="str">
        <f>IF(cas=1,"EC",IF(cas=3,"EC","PT"))</f>
        <v>PT</v>
      </c>
      <c r="AW60" s="171"/>
    </row>
    <row r="61" spans="1:47" ht="12">
      <c r="A61" s="35">
        <v>18</v>
      </c>
      <c r="B61" s="10"/>
      <c r="C61" s="11"/>
      <c r="D61" s="107">
        <f t="shared" si="14"/>
        <v>0</v>
      </c>
      <c r="E61" s="108">
        <f t="shared" si="15"/>
        <v>0</v>
      </c>
      <c r="F61" s="109">
        <f t="shared" si="16"/>
      </c>
      <c r="G61" s="10"/>
      <c r="H61" s="13"/>
      <c r="I61" s="11"/>
      <c r="J61" s="107">
        <f t="shared" si="18"/>
        <v>0</v>
      </c>
      <c r="K61" s="110">
        <f t="shared" si="19"/>
        <v>0</v>
      </c>
      <c r="L61" s="111">
        <f t="shared" si="17"/>
      </c>
      <c r="M61" s="112">
        <f t="shared" si="20"/>
      </c>
      <c r="N61" s="106"/>
      <c r="O61" s="106"/>
      <c r="P61" s="189"/>
      <c r="Q61" s="189"/>
      <c r="R61" s="199">
        <v>10</v>
      </c>
      <c r="S61" s="214">
        <v>0.23</v>
      </c>
      <c r="T61" s="258">
        <v>0.17</v>
      </c>
      <c r="Y61" s="253"/>
      <c r="Z61" s="253"/>
      <c r="AA61" s="253"/>
      <c r="AB61" s="253"/>
      <c r="AC61" s="151"/>
      <c r="AD61" s="151"/>
      <c r="AE61" s="151"/>
      <c r="AF61" s="151"/>
      <c r="AJ61" s="147" t="s">
        <v>169</v>
      </c>
      <c r="AP61" s="151"/>
      <c r="AQ61" s="151"/>
      <c r="AR61" s="151"/>
      <c r="AS61" s="143">
        <v>1</v>
      </c>
      <c r="AT61" s="144" t="s">
        <v>76</v>
      </c>
      <c r="AU61" s="144" t="s">
        <v>59</v>
      </c>
    </row>
    <row r="62" spans="1:47" ht="12">
      <c r="A62" s="35">
        <v>19</v>
      </c>
      <c r="B62" s="10"/>
      <c r="C62" s="11"/>
      <c r="D62" s="107">
        <f t="shared" si="14"/>
        <v>0</v>
      </c>
      <c r="E62" s="108">
        <f t="shared" si="15"/>
        <v>0</v>
      </c>
      <c r="F62" s="109">
        <f t="shared" si="16"/>
      </c>
      <c r="G62" s="31"/>
      <c r="H62" s="13"/>
      <c r="I62" s="14"/>
      <c r="J62" s="107">
        <f t="shared" si="18"/>
        <v>0</v>
      </c>
      <c r="K62" s="110">
        <f t="shared" si="19"/>
        <v>0</v>
      </c>
      <c r="L62" s="111">
        <f t="shared" si="17"/>
      </c>
      <c r="M62" s="112">
        <f t="shared" si="20"/>
      </c>
      <c r="N62" s="106"/>
      <c r="O62" s="106"/>
      <c r="P62" s="189"/>
      <c r="Q62" s="189"/>
      <c r="R62" s="199">
        <v>10</v>
      </c>
      <c r="S62" s="214">
        <v>0.33</v>
      </c>
      <c r="T62" s="258">
        <v>0.17</v>
      </c>
      <c r="Y62" s="253"/>
      <c r="Z62" s="253"/>
      <c r="AA62" s="253"/>
      <c r="AB62" s="253"/>
      <c r="AC62" s="151"/>
      <c r="AD62" s="151"/>
      <c r="AE62" s="151"/>
      <c r="AF62" s="151"/>
      <c r="AJ62" s="172" t="str">
        <f>axneut(Z91:Z122,AA91:AA122,Nb,u,v,w)</f>
        <v> 500000000 0-500000000 0 600000000 0-600000000 0 137137501 0 600000000 0 373322898 0-600000000 0</v>
      </c>
      <c r="AK62" s="172" t="s">
        <v>56</v>
      </c>
      <c r="AP62" s="151"/>
      <c r="AQ62" s="151"/>
      <c r="AR62" s="151"/>
      <c r="AS62" s="143">
        <v>2</v>
      </c>
      <c r="AT62" s="144" t="s">
        <v>77</v>
      </c>
      <c r="AU62" s="144" t="s">
        <v>60</v>
      </c>
    </row>
    <row r="63" spans="1:47" ht="12">
      <c r="A63" s="35">
        <v>20</v>
      </c>
      <c r="B63" s="10"/>
      <c r="C63" s="11"/>
      <c r="D63" s="107">
        <f t="shared" si="14"/>
        <v>0</v>
      </c>
      <c r="E63" s="108">
        <f t="shared" si="15"/>
        <v>0</v>
      </c>
      <c r="F63" s="109">
        <f t="shared" si="16"/>
      </c>
      <c r="G63" s="31"/>
      <c r="H63" s="13"/>
      <c r="I63" s="14"/>
      <c r="J63" s="107">
        <f t="shared" si="18"/>
        <v>0</v>
      </c>
      <c r="K63" s="110">
        <f t="shared" si="19"/>
        <v>0</v>
      </c>
      <c r="L63" s="111">
        <f t="shared" si="17"/>
      </c>
      <c r="M63" s="112">
        <f t="shared" si="20"/>
      </c>
      <c r="N63" s="106"/>
      <c r="O63" s="106"/>
      <c r="P63" s="189"/>
      <c r="Q63" s="189"/>
      <c r="R63" s="199">
        <v>10</v>
      </c>
      <c r="S63" s="214">
        <v>0.47</v>
      </c>
      <c r="T63" s="258">
        <v>0.17</v>
      </c>
      <c r="Y63" s="253"/>
      <c r="Z63" s="253"/>
      <c r="AA63" s="253"/>
      <c r="AB63" s="253"/>
      <c r="AC63" s="151"/>
      <c r="AD63" s="151"/>
      <c r="AE63" s="151"/>
      <c r="AF63" s="151"/>
      <c r="AH63" s="143" t="s">
        <v>27</v>
      </c>
      <c r="AI63" s="144">
        <v>1</v>
      </c>
      <c r="AJ63" s="144">
        <f aca="true" t="shared" si="23" ref="AJ63:AJ70">macf(AJ$62,$AI63)</f>
        <v>0.5</v>
      </c>
      <c r="AP63" s="151"/>
      <c r="AQ63" s="151"/>
      <c r="AR63" s="151"/>
      <c r="AS63" s="143">
        <v>3</v>
      </c>
      <c r="AT63" s="144" t="s">
        <v>78</v>
      </c>
      <c r="AU63" s="144" t="s">
        <v>61</v>
      </c>
    </row>
    <row r="64" spans="1:49" ht="12">
      <c r="A64" s="35">
        <v>21</v>
      </c>
      <c r="B64" s="10"/>
      <c r="C64" s="11"/>
      <c r="D64" s="107">
        <f t="shared" si="14"/>
        <v>0</v>
      </c>
      <c r="E64" s="108">
        <f t="shared" si="15"/>
        <v>0</v>
      </c>
      <c r="F64" s="109">
        <f t="shared" si="16"/>
      </c>
      <c r="G64" s="31"/>
      <c r="H64" s="13"/>
      <c r="I64" s="14"/>
      <c r="J64" s="107">
        <f t="shared" si="18"/>
        <v>0</v>
      </c>
      <c r="K64" s="110">
        <f t="shared" si="19"/>
        <v>0</v>
      </c>
      <c r="L64" s="111">
        <f t="shared" si="17"/>
      </c>
      <c r="M64" s="112">
        <f t="shared" si="20"/>
      </c>
      <c r="N64" s="106"/>
      <c r="O64" s="106"/>
      <c r="P64" s="189"/>
      <c r="Q64" s="189"/>
      <c r="R64" s="199">
        <v>10</v>
      </c>
      <c r="S64" s="214">
        <v>0.57</v>
      </c>
      <c r="T64" s="258">
        <v>0.17</v>
      </c>
      <c r="Y64" s="253"/>
      <c r="Z64" s="253"/>
      <c r="AA64" s="253"/>
      <c r="AB64" s="253"/>
      <c r="AC64" s="151"/>
      <c r="AD64" s="151"/>
      <c r="AE64" s="151"/>
      <c r="AF64" s="151"/>
      <c r="AH64" s="143" t="s">
        <v>28</v>
      </c>
      <c r="AI64" s="144">
        <v>2</v>
      </c>
      <c r="AJ64" s="144">
        <f t="shared" si="23"/>
        <v>-0.5</v>
      </c>
      <c r="AP64" s="151"/>
      <c r="AQ64" s="151"/>
      <c r="AR64" s="151"/>
      <c r="AS64" s="222">
        <v>4</v>
      </c>
      <c r="AT64" s="176" t="s">
        <v>79</v>
      </c>
      <c r="AU64" s="144" t="s">
        <v>62</v>
      </c>
      <c r="AV64" s="176"/>
      <c r="AW64" s="176"/>
    </row>
    <row r="65" spans="1:44" ht="12">
      <c r="A65" s="35">
        <v>22</v>
      </c>
      <c r="B65" s="10"/>
      <c r="C65" s="11"/>
      <c r="D65" s="107">
        <f t="shared" si="14"/>
        <v>0</v>
      </c>
      <c r="E65" s="108">
        <f t="shared" si="15"/>
        <v>0</v>
      </c>
      <c r="F65" s="109">
        <f t="shared" si="16"/>
      </c>
      <c r="G65" s="31"/>
      <c r="H65" s="13"/>
      <c r="I65" s="14"/>
      <c r="J65" s="107">
        <f t="shared" si="18"/>
        <v>0</v>
      </c>
      <c r="K65" s="110">
        <f t="shared" si="19"/>
        <v>0</v>
      </c>
      <c r="L65" s="111">
        <f t="shared" si="17"/>
      </c>
      <c r="M65" s="112">
        <f t="shared" si="20"/>
      </c>
      <c r="N65" s="106"/>
      <c r="O65" s="106"/>
      <c r="P65" s="189"/>
      <c r="Q65" s="189"/>
      <c r="R65" s="199">
        <v>8</v>
      </c>
      <c r="S65" s="214">
        <v>0.33</v>
      </c>
      <c r="T65" s="258">
        <v>0.45</v>
      </c>
      <c r="Y65" s="253"/>
      <c r="Z65" s="253"/>
      <c r="AA65" s="253"/>
      <c r="AB65" s="253"/>
      <c r="AC65" s="151"/>
      <c r="AD65" s="151"/>
      <c r="AE65" s="151"/>
      <c r="AF65" s="151"/>
      <c r="AH65" s="143" t="s">
        <v>29</v>
      </c>
      <c r="AI65" s="144">
        <v>3</v>
      </c>
      <c r="AJ65" s="144">
        <f t="shared" si="23"/>
        <v>0.6</v>
      </c>
      <c r="AP65" s="151"/>
      <c r="AQ65" s="151"/>
      <c r="AR65" s="151"/>
    </row>
    <row r="66" spans="1:44" ht="12">
      <c r="A66" s="35">
        <v>23</v>
      </c>
      <c r="B66" s="10"/>
      <c r="C66" s="11"/>
      <c r="D66" s="107">
        <f t="shared" si="14"/>
        <v>0</v>
      </c>
      <c r="E66" s="108">
        <f t="shared" si="15"/>
        <v>0</v>
      </c>
      <c r="F66" s="109">
        <f t="shared" si="16"/>
      </c>
      <c r="G66" s="31"/>
      <c r="H66" s="13"/>
      <c r="I66" s="14"/>
      <c r="J66" s="107">
        <f t="shared" si="18"/>
        <v>0</v>
      </c>
      <c r="K66" s="110">
        <f t="shared" si="19"/>
        <v>0</v>
      </c>
      <c r="L66" s="111">
        <f t="shared" si="17"/>
      </c>
      <c r="M66" s="112">
        <f t="shared" si="20"/>
      </c>
      <c r="N66" s="106"/>
      <c r="O66" s="106"/>
      <c r="P66" s="189"/>
      <c r="Q66" s="189"/>
      <c r="R66" s="199">
        <v>8</v>
      </c>
      <c r="S66" s="214">
        <v>0.47</v>
      </c>
      <c r="T66" s="258">
        <v>0.45</v>
      </c>
      <c r="Y66" s="253"/>
      <c r="Z66" s="253"/>
      <c r="AA66" s="253"/>
      <c r="AB66" s="253"/>
      <c r="AC66" s="151"/>
      <c r="AD66" s="151"/>
      <c r="AE66" s="151"/>
      <c r="AF66" s="151"/>
      <c r="AH66" s="143" t="s">
        <v>30</v>
      </c>
      <c r="AI66" s="144">
        <v>4</v>
      </c>
      <c r="AJ66" s="144">
        <f t="shared" si="23"/>
        <v>-0.6</v>
      </c>
      <c r="AP66" s="151"/>
      <c r="AQ66" s="151"/>
      <c r="AR66" s="151"/>
    </row>
    <row r="67" spans="1:38" ht="12">
      <c r="A67" s="35">
        <v>24</v>
      </c>
      <c r="B67" s="10"/>
      <c r="C67" s="11"/>
      <c r="D67" s="107">
        <f t="shared" si="14"/>
        <v>0</v>
      </c>
      <c r="E67" s="108">
        <f t="shared" si="15"/>
        <v>0</v>
      </c>
      <c r="F67" s="109">
        <f t="shared" si="16"/>
      </c>
      <c r="G67" s="31"/>
      <c r="H67" s="13"/>
      <c r="I67" s="14"/>
      <c r="J67" s="107">
        <f t="shared" si="18"/>
        <v>0</v>
      </c>
      <c r="K67" s="110">
        <f t="shared" si="19"/>
        <v>0</v>
      </c>
      <c r="L67" s="111">
        <f t="shared" si="17"/>
      </c>
      <c r="M67" s="112">
        <f t="shared" si="20"/>
      </c>
      <c r="N67" s="106"/>
      <c r="O67" s="106"/>
      <c r="P67" s="189"/>
      <c r="Q67" s="189"/>
      <c r="R67" s="199">
        <v>10</v>
      </c>
      <c r="S67" s="214">
        <v>0.03</v>
      </c>
      <c r="T67" s="258">
        <v>0.78</v>
      </c>
      <c r="Y67" s="253"/>
      <c r="Z67" s="253"/>
      <c r="AA67" s="253"/>
      <c r="AB67" s="253"/>
      <c r="AC67" s="151"/>
      <c r="AD67" s="151"/>
      <c r="AE67" s="151"/>
      <c r="AF67" s="151"/>
      <c r="AH67" s="143" t="s">
        <v>213</v>
      </c>
      <c r="AI67" s="144">
        <v>5</v>
      </c>
      <c r="AJ67" s="170">
        <f t="shared" si="23"/>
        <v>0.1371375</v>
      </c>
      <c r="AK67" s="171"/>
      <c r="AL67" s="168"/>
    </row>
    <row r="68" spans="1:38" ht="12">
      <c r="A68" s="35">
        <v>25</v>
      </c>
      <c r="B68" s="10"/>
      <c r="C68" s="11"/>
      <c r="D68" s="107">
        <f t="shared" si="14"/>
        <v>0</v>
      </c>
      <c r="E68" s="108">
        <f t="shared" si="15"/>
        <v>0</v>
      </c>
      <c r="F68" s="109">
        <f t="shared" si="16"/>
      </c>
      <c r="G68" s="31"/>
      <c r="H68" s="13"/>
      <c r="I68" s="14"/>
      <c r="J68" s="107">
        <f t="shared" si="18"/>
        <v>0</v>
      </c>
      <c r="K68" s="110">
        <f t="shared" si="19"/>
        <v>0</v>
      </c>
      <c r="L68" s="111">
        <f t="shared" si="17"/>
      </c>
      <c r="M68" s="112">
        <f t="shared" si="20"/>
      </c>
      <c r="N68" s="106"/>
      <c r="O68" s="106"/>
      <c r="P68" s="189"/>
      <c r="Q68" s="189"/>
      <c r="R68" s="199">
        <v>10</v>
      </c>
      <c r="S68" s="214">
        <v>0.33</v>
      </c>
      <c r="T68" s="258">
        <v>0.78</v>
      </c>
      <c r="Y68" s="253"/>
      <c r="Z68" s="253"/>
      <c r="AA68" s="253"/>
      <c r="AB68" s="253"/>
      <c r="AC68" s="151"/>
      <c r="AD68" s="151"/>
      <c r="AE68" s="151"/>
      <c r="AF68" s="151"/>
      <c r="AH68" s="143" t="s">
        <v>214</v>
      </c>
      <c r="AI68" s="144">
        <v>6</v>
      </c>
      <c r="AJ68" s="164">
        <f t="shared" si="23"/>
        <v>0.6</v>
      </c>
      <c r="AL68" s="173"/>
    </row>
    <row r="69" spans="1:38" ht="12">
      <c r="A69" s="35">
        <v>26</v>
      </c>
      <c r="B69" s="10"/>
      <c r="C69" s="11"/>
      <c r="D69" s="107">
        <f t="shared" si="14"/>
        <v>0</v>
      </c>
      <c r="E69" s="108">
        <f t="shared" si="15"/>
        <v>0</v>
      </c>
      <c r="F69" s="109">
        <f t="shared" si="16"/>
      </c>
      <c r="G69" s="31"/>
      <c r="H69" s="13"/>
      <c r="I69" s="14"/>
      <c r="J69" s="107">
        <f t="shared" si="18"/>
        <v>0</v>
      </c>
      <c r="K69" s="110">
        <f t="shared" si="19"/>
        <v>0</v>
      </c>
      <c r="L69" s="111">
        <f t="shared" si="17"/>
      </c>
      <c r="M69" s="112">
        <f t="shared" si="20"/>
      </c>
      <c r="N69" s="106"/>
      <c r="O69" s="106"/>
      <c r="P69" s="189"/>
      <c r="Q69" s="189"/>
      <c r="R69" s="199">
        <v>10</v>
      </c>
      <c r="S69" s="214">
        <v>0.47</v>
      </c>
      <c r="T69" s="258">
        <v>0.78</v>
      </c>
      <c r="Y69" s="253"/>
      <c r="Z69" s="253"/>
      <c r="AA69" s="253"/>
      <c r="AB69" s="253"/>
      <c r="AC69" s="151"/>
      <c r="AD69" s="151"/>
      <c r="AE69" s="151"/>
      <c r="AF69" s="151"/>
      <c r="AH69" s="143" t="s">
        <v>215</v>
      </c>
      <c r="AI69" s="144">
        <v>7</v>
      </c>
      <c r="AJ69" s="164">
        <f t="shared" si="23"/>
        <v>0.37332289</v>
      </c>
      <c r="AL69" s="173"/>
    </row>
    <row r="70" spans="1:38" ht="12">
      <c r="A70" s="35">
        <v>27</v>
      </c>
      <c r="B70" s="10"/>
      <c r="C70" s="11"/>
      <c r="D70" s="107">
        <f t="shared" si="14"/>
        <v>0</v>
      </c>
      <c r="E70" s="108">
        <f t="shared" si="15"/>
        <v>0</v>
      </c>
      <c r="F70" s="109">
        <f t="shared" si="16"/>
      </c>
      <c r="G70" s="31"/>
      <c r="H70" s="13"/>
      <c r="I70" s="14"/>
      <c r="J70" s="107">
        <f t="shared" si="18"/>
        <v>0</v>
      </c>
      <c r="K70" s="110">
        <f t="shared" si="19"/>
        <v>0</v>
      </c>
      <c r="L70" s="111">
        <f t="shared" si="17"/>
      </c>
      <c r="M70" s="112">
        <f t="shared" si="20"/>
      </c>
      <c r="N70" s="106"/>
      <c r="O70" s="106"/>
      <c r="P70" s="189"/>
      <c r="Q70" s="189"/>
      <c r="R70" s="199">
        <v>10</v>
      </c>
      <c r="S70" s="214">
        <v>0.77</v>
      </c>
      <c r="T70" s="258">
        <v>0.78</v>
      </c>
      <c r="Y70" s="253"/>
      <c r="Z70" s="253"/>
      <c r="AA70" s="253"/>
      <c r="AB70" s="253"/>
      <c r="AC70" s="151"/>
      <c r="AD70" s="151"/>
      <c r="AE70" s="151"/>
      <c r="AF70" s="151"/>
      <c r="AH70" s="143" t="s">
        <v>216</v>
      </c>
      <c r="AI70" s="144">
        <v>8</v>
      </c>
      <c r="AJ70" s="175">
        <f t="shared" si="23"/>
        <v>-0.6</v>
      </c>
      <c r="AK70" s="176"/>
      <c r="AL70" s="177"/>
    </row>
    <row r="71" spans="1:38" ht="12">
      <c r="A71" s="35">
        <v>28</v>
      </c>
      <c r="B71" s="10"/>
      <c r="C71" s="11"/>
      <c r="D71" s="107">
        <f t="shared" si="14"/>
        <v>0</v>
      </c>
      <c r="E71" s="108">
        <f t="shared" si="15"/>
        <v>0</v>
      </c>
      <c r="F71" s="109">
        <f t="shared" si="16"/>
      </c>
      <c r="G71" s="31"/>
      <c r="H71" s="13"/>
      <c r="I71" s="14"/>
      <c r="J71" s="107">
        <f t="shared" si="18"/>
        <v>0</v>
      </c>
      <c r="K71" s="110">
        <f t="shared" si="19"/>
        <v>0</v>
      </c>
      <c r="L71" s="111">
        <f t="shared" si="17"/>
      </c>
      <c r="M71" s="112">
        <f t="shared" si="20"/>
      </c>
      <c r="N71" s="106"/>
      <c r="O71" s="106"/>
      <c r="P71" s="189"/>
      <c r="Q71" s="189"/>
      <c r="R71" s="199">
        <v>10</v>
      </c>
      <c r="S71" s="214">
        <v>0.03</v>
      </c>
      <c r="T71" s="258">
        <v>0.87</v>
      </c>
      <c r="Y71" s="253"/>
      <c r="Z71" s="253"/>
      <c r="AA71" s="253"/>
      <c r="AB71" s="253"/>
      <c r="AC71" s="151"/>
      <c r="AD71" s="151"/>
      <c r="AE71" s="151"/>
      <c r="AF71" s="151"/>
      <c r="AJ71" s="147" t="s">
        <v>217</v>
      </c>
      <c r="AK71" s="147"/>
      <c r="AL71" s="147"/>
    </row>
    <row r="72" spans="1:32" ht="12">
      <c r="A72" s="35">
        <v>29</v>
      </c>
      <c r="B72" s="10"/>
      <c r="C72" s="11"/>
      <c r="D72" s="107">
        <f t="shared" si="14"/>
        <v>0</v>
      </c>
      <c r="E72" s="108">
        <f t="shared" si="15"/>
        <v>0</v>
      </c>
      <c r="F72" s="109">
        <f t="shared" si="16"/>
      </c>
      <c r="G72" s="31"/>
      <c r="H72" s="13"/>
      <c r="I72" s="14"/>
      <c r="J72" s="107">
        <f t="shared" si="18"/>
        <v>0</v>
      </c>
      <c r="K72" s="110">
        <f t="shared" si="19"/>
        <v>0</v>
      </c>
      <c r="L72" s="111">
        <f t="shared" si="17"/>
      </c>
      <c r="M72" s="112">
        <f t="shared" si="20"/>
      </c>
      <c r="N72" s="106"/>
      <c r="O72" s="106"/>
      <c r="P72" s="189"/>
      <c r="Q72" s="189"/>
      <c r="R72" s="199">
        <v>10</v>
      </c>
      <c r="S72" s="214">
        <v>0.33</v>
      </c>
      <c r="T72" s="258">
        <v>0.87</v>
      </c>
      <c r="Y72" s="253"/>
      <c r="Z72" s="253"/>
      <c r="AA72" s="253"/>
      <c r="AB72" s="253"/>
      <c r="AC72" s="151"/>
      <c r="AD72" s="151"/>
      <c r="AE72" s="151"/>
      <c r="AF72" s="151"/>
    </row>
    <row r="73" spans="1:32" ht="12">
      <c r="A73" s="35">
        <v>30</v>
      </c>
      <c r="B73" s="10"/>
      <c r="C73" s="11"/>
      <c r="D73" s="107">
        <f t="shared" si="14"/>
        <v>0</v>
      </c>
      <c r="E73" s="108">
        <f t="shared" si="15"/>
        <v>0</v>
      </c>
      <c r="F73" s="109">
        <f t="shared" si="16"/>
      </c>
      <c r="G73" s="31"/>
      <c r="H73" s="13"/>
      <c r="I73" s="14"/>
      <c r="J73" s="107">
        <f t="shared" si="18"/>
        <v>0</v>
      </c>
      <c r="K73" s="110">
        <f t="shared" si="19"/>
        <v>0</v>
      </c>
      <c r="L73" s="111">
        <f t="shared" si="17"/>
      </c>
      <c r="M73" s="112">
        <f t="shared" si="20"/>
      </c>
      <c r="N73" s="106"/>
      <c r="O73" s="106"/>
      <c r="P73" s="189"/>
      <c r="Q73" s="189"/>
      <c r="R73" s="199">
        <v>10</v>
      </c>
      <c r="S73" s="214">
        <v>0.47</v>
      </c>
      <c r="T73" s="258">
        <v>0.87</v>
      </c>
      <c r="Y73" s="253"/>
      <c r="Z73" s="253"/>
      <c r="AA73" s="253"/>
      <c r="AB73" s="253"/>
      <c r="AC73" s="151"/>
      <c r="AD73" s="151"/>
      <c r="AE73" s="151"/>
      <c r="AF73" s="151"/>
    </row>
    <row r="74" spans="1:32" ht="12">
      <c r="A74" s="35">
        <v>31</v>
      </c>
      <c r="B74" s="10"/>
      <c r="C74" s="11"/>
      <c r="D74" s="107">
        <f t="shared" si="14"/>
        <v>0</v>
      </c>
      <c r="E74" s="108">
        <f t="shared" si="15"/>
        <v>0</v>
      </c>
      <c r="F74" s="109">
        <f t="shared" si="16"/>
      </c>
      <c r="G74" s="31"/>
      <c r="H74" s="13"/>
      <c r="I74" s="14"/>
      <c r="J74" s="107">
        <f t="shared" si="18"/>
        <v>0</v>
      </c>
      <c r="K74" s="110">
        <f t="shared" si="19"/>
        <v>0</v>
      </c>
      <c r="L74" s="111">
        <f t="shared" si="17"/>
      </c>
      <c r="M74" s="112">
        <f t="shared" si="20"/>
      </c>
      <c r="N74" s="106"/>
      <c r="O74" s="106"/>
      <c r="P74" s="189"/>
      <c r="Q74" s="189"/>
      <c r="R74" s="199">
        <v>10</v>
      </c>
      <c r="S74" s="214">
        <v>0.77</v>
      </c>
      <c r="T74" s="258">
        <v>0.87</v>
      </c>
      <c r="Y74" s="253"/>
      <c r="Z74" s="253"/>
      <c r="AA74" s="253"/>
      <c r="AB74" s="253"/>
      <c r="AC74" s="151"/>
      <c r="AD74" s="151"/>
      <c r="AE74" s="151"/>
      <c r="AF74" s="151"/>
    </row>
    <row r="75" spans="1:32" ht="12.75" thickBot="1">
      <c r="A75" s="35">
        <v>32</v>
      </c>
      <c r="B75" s="296"/>
      <c r="C75" s="297"/>
      <c r="D75" s="113">
        <f t="shared" si="14"/>
        <v>0</v>
      </c>
      <c r="E75" s="119">
        <f t="shared" si="15"/>
        <v>0</v>
      </c>
      <c r="F75" s="115">
        <f t="shared" si="16"/>
      </c>
      <c r="G75" s="32"/>
      <c r="H75" s="15"/>
      <c r="I75" s="16"/>
      <c r="J75" s="113">
        <f t="shared" si="18"/>
        <v>0</v>
      </c>
      <c r="K75" s="114">
        <f t="shared" si="19"/>
        <v>0</v>
      </c>
      <c r="L75" s="116">
        <f t="shared" si="17"/>
      </c>
      <c r="M75" s="335">
        <f t="shared" si="20"/>
      </c>
      <c r="N75" s="106"/>
      <c r="Q75" s="189"/>
      <c r="R75" s="189"/>
      <c r="Y75" s="253"/>
      <c r="Z75" s="253"/>
      <c r="AA75" s="253"/>
      <c r="AB75" s="253"/>
      <c r="AC75" s="151"/>
      <c r="AD75" s="151"/>
      <c r="AE75" s="151"/>
      <c r="AF75" s="151"/>
    </row>
    <row r="76" spans="1:32" ht="14.25" thickTop="1">
      <c r="A76" s="35"/>
      <c r="B76" s="51" t="s">
        <v>208</v>
      </c>
      <c r="C76" s="118">
        <f>X13</f>
        <v>1.2</v>
      </c>
      <c r="D76" s="36" t="s">
        <v>233</v>
      </c>
      <c r="H76" s="36"/>
      <c r="K76" s="51" t="s">
        <v>235</v>
      </c>
      <c r="L76" s="120">
        <f>SUM(AA)</f>
        <v>68.72233929727672</v>
      </c>
      <c r="M76" s="36" t="s">
        <v>234</v>
      </c>
      <c r="Q76" s="189"/>
      <c r="R76" s="189"/>
      <c r="Y76" s="253"/>
      <c r="Z76" s="253"/>
      <c r="AA76" s="253"/>
      <c r="AB76" s="253"/>
      <c r="AC76" s="151"/>
      <c r="AD76" s="151"/>
      <c r="AE76" s="151"/>
      <c r="AF76" s="151"/>
    </row>
    <row r="77" spans="6:32" ht="12">
      <c r="F77"/>
      <c r="G77"/>
      <c r="R77" s="189"/>
      <c r="T77" s="253"/>
      <c r="U77" s="253"/>
      <c r="V77" s="253"/>
      <c r="Y77" s="253"/>
      <c r="Z77" s="253"/>
      <c r="AA77" s="253"/>
      <c r="AB77" s="253"/>
      <c r="AC77" s="151"/>
      <c r="AD77" s="151"/>
      <c r="AE77" s="151"/>
      <c r="AF77" s="151"/>
    </row>
    <row r="78" spans="1:32" ht="12">
      <c r="A78" s="78" t="str">
        <f>IF($AV$60="PT","Équation de la fibre neutre","")</f>
        <v>Équation de la fibre neutre</v>
      </c>
      <c r="B78" s="36"/>
      <c r="C78" s="36"/>
      <c r="F78" s="325"/>
      <c r="G78" s="326"/>
      <c r="H78" s="84"/>
      <c r="R78" s="189"/>
      <c r="T78" s="253"/>
      <c r="U78" s="253"/>
      <c r="V78" s="253"/>
      <c r="Y78" s="253"/>
      <c r="Z78" s="253"/>
      <c r="AA78" s="253"/>
      <c r="AB78" s="253"/>
      <c r="AC78" s="151"/>
      <c r="AD78" s="151"/>
      <c r="AE78" s="151"/>
      <c r="AF78" s="151"/>
    </row>
    <row r="79" spans="1:58" ht="12">
      <c r="A79" s="38" t="str">
        <f>IF($AV$60="PT","(dans l'ancien repère)","")</f>
        <v>(dans l'ancien repère)</v>
      </c>
      <c r="B79" s="36"/>
      <c r="C79" s="84"/>
      <c r="E79" s="36" t="str">
        <f>uvw0(U$323,V$323,U$324,V$324,1)</f>
        <v>-5.08076.x  -1 .y + 4.43713 = 0</v>
      </c>
      <c r="F79" s="325"/>
      <c r="G79" s="327"/>
      <c r="H79" s="84"/>
      <c r="K79" s="51" t="str">
        <f>IF(AV60="PT","hauteur totale","")</f>
        <v>hauteur totale</v>
      </c>
      <c r="L79" s="141">
        <f>S336-S334</f>
        <v>1.2</v>
      </c>
      <c r="M79" s="36" t="s">
        <v>220</v>
      </c>
      <c r="V79" s="253"/>
      <c r="W79" s="253"/>
      <c r="X79" s="253"/>
      <c r="Z79" s="137"/>
      <c r="AA79" s="253"/>
      <c r="AB79" s="253"/>
      <c r="AC79" s="253"/>
      <c r="AD79" s="253"/>
      <c r="AE79" s="151"/>
      <c r="AF79" s="151"/>
      <c r="AG79" s="151"/>
      <c r="AH79" s="151"/>
      <c r="BE79" s="144"/>
      <c r="BF79" s="144"/>
    </row>
    <row r="80" spans="5:58" ht="12">
      <c r="E80" s="40" t="str">
        <f>uvw0(U$323,V$323,U$324,V$324,2)</f>
        <v>y = -5.08076.x 4.43713</v>
      </c>
      <c r="F80" s="76"/>
      <c r="G80" s="40"/>
      <c r="H80" s="84"/>
      <c r="J80" s="35"/>
      <c r="K80" s="51" t="str">
        <f>IF(AV60="PT","hauteur utile","")</f>
        <v>hauteur utile</v>
      </c>
      <c r="L80" s="141">
        <f>IF(AV60="PT",S336-MIN(I44:I75),"")</f>
        <v>1.0999999999999999</v>
      </c>
      <c r="M80" s="36" t="s">
        <v>220</v>
      </c>
      <c r="P80" s="225"/>
      <c r="U80" s="328"/>
      <c r="V80" s="253"/>
      <c r="W80" s="253"/>
      <c r="X80" s="253"/>
      <c r="Z80" s="137"/>
      <c r="AA80" s="137"/>
      <c r="AC80" s="225"/>
      <c r="AD80" s="225"/>
      <c r="BE80" s="144"/>
      <c r="BF80" s="144"/>
    </row>
    <row r="81" spans="5:58" ht="12">
      <c r="E81" s="51" t="s">
        <v>305</v>
      </c>
      <c r="F81" s="332">
        <f>ATAN(U86)*180/PI()</f>
        <v>-78.86531475266129</v>
      </c>
      <c r="G81" s="333" t="s">
        <v>239</v>
      </c>
      <c r="H81" s="330"/>
      <c r="I81" s="330"/>
      <c r="J81" s="329"/>
      <c r="K81" s="329"/>
      <c r="L81" s="329"/>
      <c r="M81" s="329"/>
      <c r="N81" s="329"/>
      <c r="O81"/>
      <c r="U81" s="328"/>
      <c r="Z81" s="137"/>
      <c r="AA81" s="137"/>
      <c r="AC81" s="225"/>
      <c r="AD81" s="225"/>
      <c r="BE81" s="144"/>
      <c r="BF81" s="144"/>
    </row>
    <row r="82" spans="6:58" ht="12">
      <c r="F82" s="329"/>
      <c r="G82" s="331"/>
      <c r="H82" s="331"/>
      <c r="I82" s="331"/>
      <c r="J82" s="329"/>
      <c r="K82" s="329"/>
      <c r="L82" s="330"/>
      <c r="M82" s="329"/>
      <c r="N82" s="329"/>
      <c r="O82"/>
      <c r="U82" s="328"/>
      <c r="Z82" s="137"/>
      <c r="AA82" s="137"/>
      <c r="AC82" s="225"/>
      <c r="AD82" s="225"/>
      <c r="BE82" s="144"/>
      <c r="BF82" s="144"/>
    </row>
    <row r="83" spans="2:58" ht="12">
      <c r="B83" s="93" t="s">
        <v>303</v>
      </c>
      <c r="C83" s="36"/>
      <c r="D83" s="51"/>
      <c r="E83" s="141"/>
      <c r="F83" s="329"/>
      <c r="G83" s="331"/>
      <c r="H83" s="331"/>
      <c r="I83" s="331"/>
      <c r="J83" s="329"/>
      <c r="K83" s="329"/>
      <c r="L83" s="329"/>
      <c r="M83" s="329"/>
      <c r="N83" s="329"/>
      <c r="O83"/>
      <c r="P83" s="225"/>
      <c r="Z83" s="137"/>
      <c r="AA83" s="137"/>
      <c r="AC83" s="225"/>
      <c r="AD83" s="225"/>
      <c r="BE83" s="144"/>
      <c r="BF83" s="144"/>
    </row>
    <row r="84" spans="2:58" ht="12">
      <c r="B84" s="36"/>
      <c r="C84" s="36"/>
      <c r="O84"/>
      <c r="P84" s="225"/>
      <c r="U84" s="328"/>
      <c r="Z84" s="137"/>
      <c r="AA84" s="137"/>
      <c r="AC84" s="137"/>
      <c r="AD84" s="137"/>
      <c r="BE84" s="144"/>
      <c r="BF84" s="144"/>
    </row>
    <row r="85" spans="2:58" ht="12">
      <c r="B85" s="36"/>
      <c r="C85" s="36"/>
      <c r="H85" s="36"/>
      <c r="P85" s="225"/>
      <c r="U85" s="334" t="s">
        <v>306</v>
      </c>
      <c r="Z85" s="137"/>
      <c r="AA85" s="137"/>
      <c r="AC85" s="137"/>
      <c r="AD85" s="137"/>
      <c r="BE85" s="144"/>
      <c r="BF85" s="144"/>
    </row>
    <row r="86" spans="2:58" ht="12">
      <c r="B86" s="36"/>
      <c r="C86" s="36"/>
      <c r="H86" s="36"/>
      <c r="P86" s="225"/>
      <c r="U86" s="328">
        <f>uvw0(U$323,V$323,U$324,V$324,3)</f>
        <v>-5.08076</v>
      </c>
      <c r="Z86" s="137"/>
      <c r="AA86" s="137"/>
      <c r="AB86" s="225"/>
      <c r="AC86" s="137"/>
      <c r="AD86" s="137"/>
      <c r="BE86" s="144"/>
      <c r="BF86" s="144"/>
    </row>
    <row r="87" spans="2:58" ht="12">
      <c r="B87" s="36"/>
      <c r="C87" s="36"/>
      <c r="H87" s="36"/>
      <c r="P87" s="225"/>
      <c r="T87" s="225"/>
      <c r="U87" s="225"/>
      <c r="Z87" s="259" t="s">
        <v>31</v>
      </c>
      <c r="AA87" s="227"/>
      <c r="AB87" s="259" t="s">
        <v>32</v>
      </c>
      <c r="AC87" s="227"/>
      <c r="AD87" s="137"/>
      <c r="BE87" s="144"/>
      <c r="BF87" s="144"/>
    </row>
    <row r="88" spans="2:58" ht="12">
      <c r="B88" s="36"/>
      <c r="C88" s="36"/>
      <c r="H88" s="36"/>
      <c r="P88" s="225"/>
      <c r="U88" s="225" t="s">
        <v>218</v>
      </c>
      <c r="Z88" s="250" t="s">
        <v>218</v>
      </c>
      <c r="AA88" s="260" t="s">
        <v>35</v>
      </c>
      <c r="AC88" s="137"/>
      <c r="AD88" s="137"/>
      <c r="BE88" s="144"/>
      <c r="BF88" s="144"/>
    </row>
    <row r="89" spans="2:58" ht="12">
      <c r="B89" s="36"/>
      <c r="C89" s="36"/>
      <c r="H89" s="36"/>
      <c r="P89" s="225"/>
      <c r="U89" s="134" t="s">
        <v>42</v>
      </c>
      <c r="Z89" s="225" t="s">
        <v>43</v>
      </c>
      <c r="AA89" s="252">
        <f>phi*PI()/180</f>
        <v>0</v>
      </c>
      <c r="AC89" s="137"/>
      <c r="AD89" s="137"/>
      <c r="BE89" s="144"/>
      <c r="BF89" s="144"/>
    </row>
    <row r="90" spans="2:58" ht="12">
      <c r="B90" s="36"/>
      <c r="C90" s="36"/>
      <c r="H90" s="36"/>
      <c r="P90" s="225"/>
      <c r="U90" s="250"/>
      <c r="V90" s="314" t="s">
        <v>302</v>
      </c>
      <c r="W90" s="324" t="s">
        <v>285</v>
      </c>
      <c r="X90" s="225"/>
      <c r="Z90" s="137"/>
      <c r="AA90" s="251" t="s">
        <v>219</v>
      </c>
      <c r="AB90" s="250" t="s">
        <v>218</v>
      </c>
      <c r="AC90" s="251" t="s">
        <v>219</v>
      </c>
      <c r="AD90" s="137"/>
      <c r="BE90" s="144"/>
      <c r="BF90" s="144"/>
    </row>
    <row r="91" spans="2:58" ht="12">
      <c r="B91" s="36"/>
      <c r="C91" s="36"/>
      <c r="H91" s="36"/>
      <c r="P91" s="225"/>
      <c r="U91" s="240">
        <f aca="true" t="shared" si="24" ref="U91:U122">IF(A44&gt;Nb,B$44,B44)</f>
        <v>0</v>
      </c>
      <c r="V91" s="225">
        <f aca="true" t="shared" si="25" ref="V91:V122">IF(A44&gt;Nb,C$44,C44)</f>
        <v>0</v>
      </c>
      <c r="W91" s="244"/>
      <c r="X91" s="225"/>
      <c r="Y91" s="225"/>
      <c r="Z91" s="240">
        <f>IF(U91="","",(U91-xg)*COS(phir)+(V91-yg)*SIN(phir))</f>
        <v>-0.5</v>
      </c>
      <c r="AA91" s="244">
        <f>IF(V91="","",-(U91-xg)*SIN(phir)+(V91-yg)*COS(phir))</f>
        <v>-0.6</v>
      </c>
      <c r="AB91" s="133">
        <f aca="true" t="shared" si="26" ref="AB91:AB122">IF(H44="","",(H44-xg)*COS(phir)+(I44-yg)*SIN(phir))</f>
        <v>-0.4</v>
      </c>
      <c r="AC91" s="135">
        <f aca="true" t="shared" si="27" ref="AC91:AC122">IF(I44="","",-(H44-xg)*SIN(phir)+(I44-yg)*COS(phir))</f>
        <v>-0.5</v>
      </c>
      <c r="AD91" s="137"/>
      <c r="BE91" s="144"/>
      <c r="BF91" s="144"/>
    </row>
    <row r="92" spans="2:58" ht="12">
      <c r="B92" s="36"/>
      <c r="C92" s="36"/>
      <c r="H92" s="36"/>
      <c r="P92" s="225"/>
      <c r="U92" s="240">
        <f t="shared" si="24"/>
        <v>0</v>
      </c>
      <c r="V92" s="225">
        <f t="shared" si="25"/>
        <v>1.2</v>
      </c>
      <c r="W92" s="244"/>
      <c r="X92" s="225"/>
      <c r="Y92" s="225"/>
      <c r="Z92" s="240">
        <f aca="true" t="shared" si="28" ref="Z92:Z122">IF(U92="","",(U92-xg)*COS(phir)+(V92-yg)*SIN(phir))</f>
        <v>-0.5</v>
      </c>
      <c r="AA92" s="244">
        <f aca="true" t="shared" si="29" ref="AA92:AA122">IF(V92="","",-(U92-xg)*SIN(phir)+(V92-yg)*COS(phir))</f>
        <v>0.6</v>
      </c>
      <c r="AB92" s="133">
        <f t="shared" si="26"/>
        <v>-0.14</v>
      </c>
      <c r="AC92" s="135">
        <f t="shared" si="27"/>
        <v>-0.5</v>
      </c>
      <c r="AD92" s="137"/>
      <c r="BE92" s="144"/>
      <c r="BF92" s="144"/>
    </row>
    <row r="93" spans="2:58" ht="12">
      <c r="B93" s="36"/>
      <c r="C93" s="36"/>
      <c r="H93" s="36"/>
      <c r="P93" s="225"/>
      <c r="U93" s="240">
        <f t="shared" si="24"/>
        <v>1</v>
      </c>
      <c r="V93" s="225">
        <f t="shared" si="25"/>
        <v>1.2</v>
      </c>
      <c r="W93" s="244"/>
      <c r="X93" s="225"/>
      <c r="Y93" s="225"/>
      <c r="Z93" s="240">
        <f t="shared" si="28"/>
        <v>0.5</v>
      </c>
      <c r="AA93" s="244">
        <f t="shared" si="29"/>
        <v>0.6</v>
      </c>
      <c r="AB93" s="133">
        <f t="shared" si="26"/>
        <v>0.14</v>
      </c>
      <c r="AC93" s="135">
        <f t="shared" si="27"/>
        <v>-0.5</v>
      </c>
      <c r="AD93" s="137"/>
      <c r="BE93" s="144"/>
      <c r="BF93" s="144"/>
    </row>
    <row r="94" spans="2:58" ht="12">
      <c r="B94" s="36"/>
      <c r="C94" s="36"/>
      <c r="H94" s="36"/>
      <c r="P94" s="225"/>
      <c r="U94" s="240">
        <f t="shared" si="24"/>
        <v>1</v>
      </c>
      <c r="V94" s="225">
        <f t="shared" si="25"/>
        <v>0</v>
      </c>
      <c r="W94" s="244"/>
      <c r="X94" s="225"/>
      <c r="Y94" s="225"/>
      <c r="Z94" s="240">
        <f t="shared" si="28"/>
        <v>0.5</v>
      </c>
      <c r="AA94" s="244">
        <f t="shared" si="29"/>
        <v>-0.6</v>
      </c>
      <c r="AB94" s="133">
        <f t="shared" si="26"/>
        <v>0.4</v>
      </c>
      <c r="AC94" s="135">
        <f t="shared" si="27"/>
        <v>-0.5</v>
      </c>
      <c r="AD94" s="137"/>
      <c r="BE94" s="144"/>
      <c r="BF94" s="144"/>
    </row>
    <row r="95" spans="2:58" ht="12">
      <c r="B95" s="36"/>
      <c r="C95" s="36"/>
      <c r="H95" s="36"/>
      <c r="P95" s="316"/>
      <c r="U95" s="240">
        <f t="shared" si="24"/>
        <v>0</v>
      </c>
      <c r="V95" s="225">
        <f t="shared" si="25"/>
        <v>0</v>
      </c>
      <c r="W95" s="244"/>
      <c r="X95" s="225"/>
      <c r="Y95" s="225"/>
      <c r="Z95" s="240">
        <f t="shared" si="28"/>
        <v>-0.5</v>
      </c>
      <c r="AA95" s="244">
        <f t="shared" si="29"/>
        <v>-0.6</v>
      </c>
      <c r="AB95" s="133">
        <f t="shared" si="26"/>
        <v>-0.4</v>
      </c>
      <c r="AC95" s="135">
        <f t="shared" si="27"/>
        <v>0.5000000000000001</v>
      </c>
      <c r="AD95" s="137"/>
      <c r="BE95" s="144"/>
      <c r="BF95" s="144"/>
    </row>
    <row r="96" spans="2:58" ht="12">
      <c r="B96" s="36"/>
      <c r="C96" s="36"/>
      <c r="H96" s="36"/>
      <c r="P96" s="316"/>
      <c r="U96" s="240">
        <f t="shared" si="24"/>
        <v>0</v>
      </c>
      <c r="V96" s="225">
        <f t="shared" si="25"/>
        <v>0</v>
      </c>
      <c r="W96" s="244"/>
      <c r="X96" s="225"/>
      <c r="Y96" s="225"/>
      <c r="Z96" s="240">
        <f t="shared" si="28"/>
        <v>-0.5</v>
      </c>
      <c r="AA96" s="244">
        <f t="shared" si="29"/>
        <v>-0.6</v>
      </c>
      <c r="AB96" s="133">
        <f t="shared" si="26"/>
        <v>-0.14</v>
      </c>
      <c r="AC96" s="135">
        <f t="shared" si="27"/>
        <v>0.5000000000000001</v>
      </c>
      <c r="AD96" s="137"/>
      <c r="BE96" s="144"/>
      <c r="BF96" s="144"/>
    </row>
    <row r="97" spans="2:58" ht="12">
      <c r="B97" s="36"/>
      <c r="C97" s="36"/>
      <c r="H97" s="36"/>
      <c r="P97" s="36"/>
      <c r="U97" s="240">
        <f t="shared" si="24"/>
        <v>0</v>
      </c>
      <c r="V97" s="225">
        <f t="shared" si="25"/>
        <v>0</v>
      </c>
      <c r="W97" s="244"/>
      <c r="X97" s="225"/>
      <c r="Y97" s="225"/>
      <c r="Z97" s="240">
        <f t="shared" si="28"/>
        <v>-0.5</v>
      </c>
      <c r="AA97" s="244">
        <f t="shared" si="29"/>
        <v>-0.6</v>
      </c>
      <c r="AB97" s="133">
        <f t="shared" si="26"/>
        <v>0.14</v>
      </c>
      <c r="AC97" s="135">
        <f t="shared" si="27"/>
        <v>0.5000000000000001</v>
      </c>
      <c r="AD97" s="137"/>
      <c r="BE97" s="144"/>
      <c r="BF97" s="144"/>
    </row>
    <row r="98" spans="2:58" ht="12">
      <c r="B98" s="36"/>
      <c r="C98" s="36"/>
      <c r="H98" s="36"/>
      <c r="P98" s="36"/>
      <c r="U98" s="240">
        <f t="shared" si="24"/>
        <v>0</v>
      </c>
      <c r="V98" s="225">
        <f t="shared" si="25"/>
        <v>0</v>
      </c>
      <c r="W98" s="244"/>
      <c r="X98" s="225"/>
      <c r="Y98" s="225"/>
      <c r="Z98" s="240">
        <f t="shared" si="28"/>
        <v>-0.5</v>
      </c>
      <c r="AA98" s="244">
        <f t="shared" si="29"/>
        <v>-0.6</v>
      </c>
      <c r="AB98" s="133">
        <f t="shared" si="26"/>
        <v>0.4</v>
      </c>
      <c r="AC98" s="135">
        <f t="shared" si="27"/>
        <v>0.5000000000000001</v>
      </c>
      <c r="AD98" s="137"/>
      <c r="BE98" s="144"/>
      <c r="BF98" s="144"/>
    </row>
    <row r="99" spans="2:58" ht="12">
      <c r="B99" s="36"/>
      <c r="C99" s="36"/>
      <c r="H99" s="36"/>
      <c r="P99" s="36"/>
      <c r="U99" s="240">
        <f t="shared" si="24"/>
        <v>0</v>
      </c>
      <c r="V99" s="225">
        <f t="shared" si="25"/>
        <v>0</v>
      </c>
      <c r="W99" s="244"/>
      <c r="X99" s="225"/>
      <c r="Y99" s="225"/>
      <c r="Z99" s="240">
        <f t="shared" si="28"/>
        <v>-0.5</v>
      </c>
      <c r="AA99" s="244">
        <f t="shared" si="29"/>
        <v>-0.6</v>
      </c>
      <c r="AB99" s="133">
        <f t="shared" si="26"/>
        <v>-0.4</v>
      </c>
      <c r="AC99" s="135">
        <f t="shared" si="27"/>
        <v>-0.25</v>
      </c>
      <c r="AD99" s="137"/>
      <c r="BE99" s="144"/>
      <c r="BF99" s="144"/>
    </row>
    <row r="100" spans="2:58" ht="12">
      <c r="B100" s="36"/>
      <c r="C100" s="36"/>
      <c r="H100" s="36"/>
      <c r="U100" s="240">
        <f t="shared" si="24"/>
        <v>0</v>
      </c>
      <c r="V100" s="225">
        <f t="shared" si="25"/>
        <v>0</v>
      </c>
      <c r="W100" s="244"/>
      <c r="X100" s="225"/>
      <c r="Y100" s="225"/>
      <c r="Z100" s="240">
        <f t="shared" si="28"/>
        <v>-0.5</v>
      </c>
      <c r="AA100" s="244">
        <f t="shared" si="29"/>
        <v>-0.6</v>
      </c>
      <c r="AB100" s="133">
        <f t="shared" si="26"/>
        <v>0.4</v>
      </c>
      <c r="AC100" s="135">
        <f t="shared" si="27"/>
        <v>-0.24</v>
      </c>
      <c r="AD100" s="137"/>
      <c r="BE100" s="144"/>
      <c r="BF100" s="144"/>
    </row>
    <row r="101" spans="2:58" ht="12">
      <c r="B101" s="36"/>
      <c r="C101" s="36"/>
      <c r="H101" s="36"/>
      <c r="U101" s="240">
        <f t="shared" si="24"/>
        <v>0</v>
      </c>
      <c r="V101" s="225">
        <f t="shared" si="25"/>
        <v>0</v>
      </c>
      <c r="W101" s="244"/>
      <c r="X101" s="225"/>
      <c r="Y101" s="225"/>
      <c r="Z101" s="240">
        <f t="shared" si="28"/>
        <v>-0.5</v>
      </c>
      <c r="AA101" s="244">
        <f t="shared" si="29"/>
        <v>-0.6</v>
      </c>
      <c r="AB101" s="133">
        <f t="shared" si="26"/>
        <v>-0.4</v>
      </c>
      <c r="AC101" s="135">
        <f t="shared" si="27"/>
        <v>0</v>
      </c>
      <c r="AD101" s="137"/>
      <c r="BE101" s="144"/>
      <c r="BF101" s="144"/>
    </row>
    <row r="102" spans="2:58" ht="12">
      <c r="B102" s="36"/>
      <c r="C102" s="36"/>
      <c r="H102" s="36"/>
      <c r="U102" s="240">
        <f t="shared" si="24"/>
        <v>0</v>
      </c>
      <c r="V102" s="225">
        <f t="shared" si="25"/>
        <v>0</v>
      </c>
      <c r="W102" s="244"/>
      <c r="X102" s="225"/>
      <c r="Y102" s="225"/>
      <c r="Z102" s="240">
        <f t="shared" si="28"/>
        <v>-0.5</v>
      </c>
      <c r="AA102" s="244">
        <f t="shared" si="29"/>
        <v>-0.6</v>
      </c>
      <c r="AB102" s="133">
        <f t="shared" si="26"/>
        <v>0.4</v>
      </c>
      <c r="AC102" s="135">
        <f t="shared" si="27"/>
        <v>0</v>
      </c>
      <c r="AD102" s="137"/>
      <c r="BE102" s="144"/>
      <c r="BF102" s="144"/>
    </row>
    <row r="103" spans="2:58" ht="12">
      <c r="B103" s="36"/>
      <c r="C103" s="36"/>
      <c r="H103" s="36"/>
      <c r="U103" s="240">
        <f t="shared" si="24"/>
        <v>0</v>
      </c>
      <c r="V103" s="225">
        <f t="shared" si="25"/>
        <v>0</v>
      </c>
      <c r="W103" s="244"/>
      <c r="X103" s="225"/>
      <c r="Y103" s="225"/>
      <c r="Z103" s="240">
        <f t="shared" si="28"/>
        <v>-0.5</v>
      </c>
      <c r="AA103" s="244">
        <f t="shared" si="29"/>
        <v>-0.6</v>
      </c>
      <c r="AB103" s="133">
        <f t="shared" si="26"/>
        <v>-0.4</v>
      </c>
      <c r="AC103" s="135">
        <f t="shared" si="27"/>
        <v>0.25</v>
      </c>
      <c r="AD103" s="137"/>
      <c r="BE103" s="144"/>
      <c r="BF103" s="144"/>
    </row>
    <row r="104" spans="2:58" ht="12">
      <c r="B104" s="36"/>
      <c r="C104" s="36"/>
      <c r="H104" s="36"/>
      <c r="U104" s="240">
        <f t="shared" si="24"/>
        <v>0</v>
      </c>
      <c r="V104" s="225">
        <f t="shared" si="25"/>
        <v>0</v>
      </c>
      <c r="W104" s="244"/>
      <c r="X104" s="225"/>
      <c r="Y104" s="225"/>
      <c r="Z104" s="240">
        <f t="shared" si="28"/>
        <v>-0.5</v>
      </c>
      <c r="AA104" s="244">
        <f t="shared" si="29"/>
        <v>-0.6</v>
      </c>
      <c r="AB104" s="133">
        <f t="shared" si="26"/>
        <v>0.4</v>
      </c>
      <c r="AC104" s="135">
        <f t="shared" si="27"/>
        <v>0.25</v>
      </c>
      <c r="AD104" s="137"/>
      <c r="BE104" s="144"/>
      <c r="BF104" s="144"/>
    </row>
    <row r="105" spans="2:58" ht="12">
      <c r="B105" s="36"/>
      <c r="C105" s="36"/>
      <c r="H105" s="36"/>
      <c r="U105" s="240">
        <f t="shared" si="24"/>
        <v>0</v>
      </c>
      <c r="V105" s="225">
        <f t="shared" si="25"/>
        <v>0</v>
      </c>
      <c r="W105" s="244"/>
      <c r="X105" s="225"/>
      <c r="Y105" s="225"/>
      <c r="Z105" s="240">
        <f t="shared" si="28"/>
        <v>-0.5</v>
      </c>
      <c r="AA105" s="244">
        <f t="shared" si="29"/>
        <v>-0.6</v>
      </c>
      <c r="AB105" s="133">
        <f t="shared" si="26"/>
      </c>
      <c r="AC105" s="135">
        <f t="shared" si="27"/>
      </c>
      <c r="AD105" s="137"/>
      <c r="BE105" s="144"/>
      <c r="BF105" s="144"/>
    </row>
    <row r="106" spans="2:58" ht="12">
      <c r="B106" s="36"/>
      <c r="C106" s="36"/>
      <c r="H106" s="36"/>
      <c r="U106" s="240">
        <f t="shared" si="24"/>
        <v>0</v>
      </c>
      <c r="V106" s="225">
        <f t="shared" si="25"/>
        <v>0</v>
      </c>
      <c r="W106" s="244"/>
      <c r="X106" s="225"/>
      <c r="Y106" s="225"/>
      <c r="Z106" s="240">
        <f t="shared" si="28"/>
        <v>-0.5</v>
      </c>
      <c r="AA106" s="244">
        <f t="shared" si="29"/>
        <v>-0.6</v>
      </c>
      <c r="AB106" s="133">
        <f t="shared" si="26"/>
      </c>
      <c r="AC106" s="135">
        <f t="shared" si="27"/>
      </c>
      <c r="AD106" s="137"/>
      <c r="BE106" s="144"/>
      <c r="BF106" s="144"/>
    </row>
    <row r="107" spans="2:58" ht="12">
      <c r="B107" s="36"/>
      <c r="C107" s="36"/>
      <c r="H107" s="36"/>
      <c r="U107" s="240">
        <f t="shared" si="24"/>
        <v>0</v>
      </c>
      <c r="V107" s="225">
        <f t="shared" si="25"/>
        <v>0</v>
      </c>
      <c r="W107" s="244"/>
      <c r="X107" s="225"/>
      <c r="Y107" s="225"/>
      <c r="Z107" s="240">
        <f t="shared" si="28"/>
        <v>-0.5</v>
      </c>
      <c r="AA107" s="244">
        <f t="shared" si="29"/>
        <v>-0.6</v>
      </c>
      <c r="AB107" s="133">
        <f t="shared" si="26"/>
      </c>
      <c r="AC107" s="135">
        <f t="shared" si="27"/>
      </c>
      <c r="AD107" s="137"/>
      <c r="BE107" s="144"/>
      <c r="BF107" s="144"/>
    </row>
    <row r="108" spans="2:58" ht="12">
      <c r="B108" s="36"/>
      <c r="C108" s="36"/>
      <c r="H108" s="36"/>
      <c r="U108" s="240">
        <f t="shared" si="24"/>
        <v>0</v>
      </c>
      <c r="V108" s="225">
        <f t="shared" si="25"/>
        <v>0</v>
      </c>
      <c r="W108" s="244"/>
      <c r="X108" s="225"/>
      <c r="Y108" s="225"/>
      <c r="Z108" s="240">
        <f t="shared" si="28"/>
        <v>-0.5</v>
      </c>
      <c r="AA108" s="244">
        <f t="shared" si="29"/>
        <v>-0.6</v>
      </c>
      <c r="AB108" s="133">
        <f t="shared" si="26"/>
      </c>
      <c r="AC108" s="135">
        <f t="shared" si="27"/>
      </c>
      <c r="AD108" s="137"/>
      <c r="BE108" s="144"/>
      <c r="BF108" s="144"/>
    </row>
    <row r="109" spans="2:58" ht="12">
      <c r="B109" s="36"/>
      <c r="C109" s="36"/>
      <c r="H109" s="36"/>
      <c r="U109" s="240">
        <f t="shared" si="24"/>
        <v>0</v>
      </c>
      <c r="V109" s="225">
        <f t="shared" si="25"/>
        <v>0</v>
      </c>
      <c r="W109" s="244"/>
      <c r="X109" s="225"/>
      <c r="Y109" s="225"/>
      <c r="Z109" s="240">
        <f t="shared" si="28"/>
        <v>-0.5</v>
      </c>
      <c r="AA109" s="244">
        <f t="shared" si="29"/>
        <v>-0.6</v>
      </c>
      <c r="AB109" s="133">
        <f t="shared" si="26"/>
      </c>
      <c r="AC109" s="135">
        <f t="shared" si="27"/>
      </c>
      <c r="AD109" s="137"/>
      <c r="BE109" s="144"/>
      <c r="BF109" s="144"/>
    </row>
    <row r="110" spans="2:58" ht="12">
      <c r="B110" s="36"/>
      <c r="C110" s="36"/>
      <c r="H110" s="36"/>
      <c r="U110" s="240">
        <f t="shared" si="24"/>
        <v>0</v>
      </c>
      <c r="V110" s="225">
        <f t="shared" si="25"/>
        <v>0</v>
      </c>
      <c r="W110" s="244"/>
      <c r="X110" s="225"/>
      <c r="Y110" s="225"/>
      <c r="Z110" s="240">
        <f t="shared" si="28"/>
        <v>-0.5</v>
      </c>
      <c r="AA110" s="244">
        <f t="shared" si="29"/>
        <v>-0.6</v>
      </c>
      <c r="AB110" s="133">
        <f t="shared" si="26"/>
      </c>
      <c r="AC110" s="135">
        <f t="shared" si="27"/>
      </c>
      <c r="AD110" s="137"/>
      <c r="BE110" s="144"/>
      <c r="BF110" s="144"/>
    </row>
    <row r="111" spans="2:58" ht="12">
      <c r="B111" s="36"/>
      <c r="C111" s="36"/>
      <c r="H111" s="36"/>
      <c r="U111" s="240">
        <f t="shared" si="24"/>
        <v>0</v>
      </c>
      <c r="V111" s="225">
        <f t="shared" si="25"/>
        <v>0</v>
      </c>
      <c r="W111" s="244"/>
      <c r="X111" s="225"/>
      <c r="Y111" s="225"/>
      <c r="Z111" s="240">
        <f t="shared" si="28"/>
        <v>-0.5</v>
      </c>
      <c r="AA111" s="244">
        <f t="shared" si="29"/>
        <v>-0.6</v>
      </c>
      <c r="AB111" s="133">
        <f t="shared" si="26"/>
      </c>
      <c r="AC111" s="135">
        <f t="shared" si="27"/>
      </c>
      <c r="AD111" s="137"/>
      <c r="BE111" s="144"/>
      <c r="BF111" s="144"/>
    </row>
    <row r="112" spans="2:58" ht="12">
      <c r="B112" s="36"/>
      <c r="C112" s="36"/>
      <c r="H112" s="36"/>
      <c r="U112" s="240">
        <f t="shared" si="24"/>
        <v>0</v>
      </c>
      <c r="V112" s="225">
        <f t="shared" si="25"/>
        <v>0</v>
      </c>
      <c r="W112" s="244"/>
      <c r="X112" s="225"/>
      <c r="Y112" s="225"/>
      <c r="Z112" s="240">
        <f t="shared" si="28"/>
        <v>-0.5</v>
      </c>
      <c r="AA112" s="244">
        <f t="shared" si="29"/>
        <v>-0.6</v>
      </c>
      <c r="AB112" s="133">
        <f t="shared" si="26"/>
      </c>
      <c r="AC112" s="135">
        <f t="shared" si="27"/>
      </c>
      <c r="AD112" s="137"/>
      <c r="BE112" s="144"/>
      <c r="BF112" s="144"/>
    </row>
    <row r="113" spans="2:58" ht="12">
      <c r="B113" s="36"/>
      <c r="C113" s="36"/>
      <c r="H113" s="36"/>
      <c r="U113" s="240">
        <f t="shared" si="24"/>
        <v>0</v>
      </c>
      <c r="V113" s="225">
        <f t="shared" si="25"/>
        <v>0</v>
      </c>
      <c r="W113" s="244"/>
      <c r="X113" s="225"/>
      <c r="Y113" s="225"/>
      <c r="Z113" s="240">
        <f t="shared" si="28"/>
        <v>-0.5</v>
      </c>
      <c r="AA113" s="244">
        <f t="shared" si="29"/>
        <v>-0.6</v>
      </c>
      <c r="AB113" s="133">
        <f t="shared" si="26"/>
      </c>
      <c r="AC113" s="135">
        <f t="shared" si="27"/>
      </c>
      <c r="AD113" s="137"/>
      <c r="BE113" s="144"/>
      <c r="BF113" s="144"/>
    </row>
    <row r="114" spans="2:58" ht="12">
      <c r="B114" s="36"/>
      <c r="C114" s="36"/>
      <c r="H114" s="36"/>
      <c r="U114" s="240">
        <f t="shared" si="24"/>
        <v>0</v>
      </c>
      <c r="V114" s="225">
        <f t="shared" si="25"/>
        <v>0</v>
      </c>
      <c r="W114" s="244"/>
      <c r="X114" s="225"/>
      <c r="Y114" s="225"/>
      <c r="Z114" s="240">
        <f t="shared" si="28"/>
        <v>-0.5</v>
      </c>
      <c r="AA114" s="244">
        <f t="shared" si="29"/>
        <v>-0.6</v>
      </c>
      <c r="AB114" s="133">
        <f t="shared" si="26"/>
      </c>
      <c r="AC114" s="135">
        <f t="shared" si="27"/>
      </c>
      <c r="AD114" s="137"/>
      <c r="BE114" s="144"/>
      <c r="BF114" s="144"/>
    </row>
    <row r="115" spans="2:58" ht="12">
      <c r="B115" s="36"/>
      <c r="C115" s="36"/>
      <c r="H115" s="36"/>
      <c r="U115" s="240">
        <f t="shared" si="24"/>
        <v>0</v>
      </c>
      <c r="V115" s="225">
        <f t="shared" si="25"/>
        <v>0</v>
      </c>
      <c r="W115" s="244"/>
      <c r="X115" s="225"/>
      <c r="Y115" s="225"/>
      <c r="Z115" s="240">
        <f t="shared" si="28"/>
        <v>-0.5</v>
      </c>
      <c r="AA115" s="244">
        <f t="shared" si="29"/>
        <v>-0.6</v>
      </c>
      <c r="AB115" s="133">
        <f t="shared" si="26"/>
      </c>
      <c r="AC115" s="135">
        <f t="shared" si="27"/>
      </c>
      <c r="AD115" s="137"/>
      <c r="BE115" s="144"/>
      <c r="BF115" s="144"/>
    </row>
    <row r="116" spans="2:58" ht="12">
      <c r="B116" s="36"/>
      <c r="C116" s="36"/>
      <c r="H116" s="36"/>
      <c r="U116" s="240">
        <f t="shared" si="24"/>
        <v>0</v>
      </c>
      <c r="V116" s="225">
        <f t="shared" si="25"/>
        <v>0</v>
      </c>
      <c r="W116" s="244"/>
      <c r="X116" s="225"/>
      <c r="Y116" s="225"/>
      <c r="Z116" s="240">
        <f t="shared" si="28"/>
        <v>-0.5</v>
      </c>
      <c r="AA116" s="244">
        <f t="shared" si="29"/>
        <v>-0.6</v>
      </c>
      <c r="AB116" s="133">
        <f t="shared" si="26"/>
      </c>
      <c r="AC116" s="135">
        <f t="shared" si="27"/>
      </c>
      <c r="AD116" s="137"/>
      <c r="BE116" s="144"/>
      <c r="BF116" s="144"/>
    </row>
    <row r="117" spans="2:58" ht="12">
      <c r="B117" s="36"/>
      <c r="C117" s="36"/>
      <c r="H117" s="36"/>
      <c r="U117" s="240">
        <f t="shared" si="24"/>
        <v>0</v>
      </c>
      <c r="V117" s="225">
        <f t="shared" si="25"/>
        <v>0</v>
      </c>
      <c r="W117" s="244"/>
      <c r="X117" s="225"/>
      <c r="Y117" s="225"/>
      <c r="Z117" s="240">
        <f t="shared" si="28"/>
        <v>-0.5</v>
      </c>
      <c r="AA117" s="244">
        <f t="shared" si="29"/>
        <v>-0.6</v>
      </c>
      <c r="AB117" s="133">
        <f t="shared" si="26"/>
      </c>
      <c r="AC117" s="135">
        <f t="shared" si="27"/>
      </c>
      <c r="AD117" s="137"/>
      <c r="BE117" s="144"/>
      <c r="BF117" s="144"/>
    </row>
    <row r="118" spans="2:58" ht="12">
      <c r="B118" s="36"/>
      <c r="C118" s="36"/>
      <c r="H118" s="36"/>
      <c r="U118" s="240">
        <f t="shared" si="24"/>
        <v>0</v>
      </c>
      <c r="V118" s="225">
        <f t="shared" si="25"/>
        <v>0</v>
      </c>
      <c r="W118" s="244"/>
      <c r="X118" s="225"/>
      <c r="Y118" s="225"/>
      <c r="Z118" s="240">
        <f t="shared" si="28"/>
        <v>-0.5</v>
      </c>
      <c r="AA118" s="244">
        <f t="shared" si="29"/>
        <v>-0.6</v>
      </c>
      <c r="AB118" s="133">
        <f t="shared" si="26"/>
      </c>
      <c r="AC118" s="135">
        <f t="shared" si="27"/>
      </c>
      <c r="AD118" s="137"/>
      <c r="BE118" s="144"/>
      <c r="BF118" s="144"/>
    </row>
    <row r="119" spans="2:58" ht="12">
      <c r="B119" s="36"/>
      <c r="C119" s="36"/>
      <c r="H119" s="36"/>
      <c r="U119" s="240">
        <f t="shared" si="24"/>
        <v>0</v>
      </c>
      <c r="V119" s="225">
        <f t="shared" si="25"/>
        <v>0</v>
      </c>
      <c r="W119" s="244"/>
      <c r="X119" s="225"/>
      <c r="Y119" s="225"/>
      <c r="Z119" s="240">
        <f t="shared" si="28"/>
        <v>-0.5</v>
      </c>
      <c r="AA119" s="244">
        <f t="shared" si="29"/>
        <v>-0.6</v>
      </c>
      <c r="AB119" s="133">
        <f t="shared" si="26"/>
      </c>
      <c r="AC119" s="135">
        <f t="shared" si="27"/>
      </c>
      <c r="AD119" s="137"/>
      <c r="BE119" s="144"/>
      <c r="BF119" s="144"/>
    </row>
    <row r="120" spans="2:58" ht="12">
      <c r="B120" s="36"/>
      <c r="C120" s="36"/>
      <c r="H120" s="36"/>
      <c r="U120" s="240">
        <f t="shared" si="24"/>
        <v>0</v>
      </c>
      <c r="V120" s="225">
        <f t="shared" si="25"/>
        <v>0</v>
      </c>
      <c r="W120" s="244"/>
      <c r="X120" s="225"/>
      <c r="Y120" s="225"/>
      <c r="Z120" s="240">
        <f t="shared" si="28"/>
        <v>-0.5</v>
      </c>
      <c r="AA120" s="244">
        <f t="shared" si="29"/>
        <v>-0.6</v>
      </c>
      <c r="AB120" s="133">
        <f t="shared" si="26"/>
      </c>
      <c r="AC120" s="135">
        <f t="shared" si="27"/>
      </c>
      <c r="AD120" s="137"/>
      <c r="BE120" s="144"/>
      <c r="BF120" s="144"/>
    </row>
    <row r="121" spans="2:58" ht="12">
      <c r="B121" s="36"/>
      <c r="C121" s="36"/>
      <c r="H121" s="36"/>
      <c r="U121" s="240">
        <f t="shared" si="24"/>
        <v>0</v>
      </c>
      <c r="V121" s="225">
        <f t="shared" si="25"/>
        <v>0</v>
      </c>
      <c r="W121" s="244"/>
      <c r="X121" s="225"/>
      <c r="Y121" s="225"/>
      <c r="Z121" s="240">
        <f t="shared" si="28"/>
        <v>-0.5</v>
      </c>
      <c r="AA121" s="244">
        <f t="shared" si="29"/>
        <v>-0.6</v>
      </c>
      <c r="AB121" s="133">
        <f t="shared" si="26"/>
      </c>
      <c r="AC121" s="135">
        <f t="shared" si="27"/>
      </c>
      <c r="AD121" s="137"/>
      <c r="BE121" s="144"/>
      <c r="BF121" s="144"/>
    </row>
    <row r="122" spans="21:58" ht="12">
      <c r="U122" s="240">
        <f t="shared" si="24"/>
        <v>0</v>
      </c>
      <c r="V122" s="225">
        <f t="shared" si="25"/>
        <v>0</v>
      </c>
      <c r="W122" s="244"/>
      <c r="X122" s="225"/>
      <c r="Y122" s="225"/>
      <c r="Z122" s="240">
        <f t="shared" si="28"/>
        <v>-0.5</v>
      </c>
      <c r="AA122" s="244">
        <f t="shared" si="29"/>
        <v>-0.6</v>
      </c>
      <c r="AB122" s="133">
        <f t="shared" si="26"/>
      </c>
      <c r="AC122" s="135">
        <f t="shared" si="27"/>
      </c>
      <c r="AD122" s="137"/>
      <c r="BE122" s="144"/>
      <c r="BF122" s="144"/>
    </row>
    <row r="123" spans="2:58" ht="12">
      <c r="B123" s="78" t="str">
        <f>IF($AV$60="PT","Équation de la fibre neutre","")</f>
        <v>Équation de la fibre neutre</v>
      </c>
      <c r="C123" s="36"/>
      <c r="G123" s="35" t="str">
        <f>IF(G124="","",ROUND(u,5)&amp;" x "&amp;IF(v&gt;0,"+ ","")&amp;ROUND(v,5)&amp;" y "&amp;IF(w&gt;=0,"+ ","")&amp;ROUND(w,5)&amp;" = 0")</f>
        <v>-0.98118 x -0.19312 y + 0.25043 = 0</v>
      </c>
      <c r="H123" s="38"/>
      <c r="K123" s="87" t="str">
        <f>IF(L123="","",IF($AV$60="PT","Pour x = 0 : y =",""))</f>
        <v>Pour x = 0 : y =</v>
      </c>
      <c r="L123" s="88">
        <f>IF($AV$60="PT",IF(ABS(v)&lt;0.00001,"",-w/v),"")</f>
        <v>1.296761965325298</v>
      </c>
      <c r="M123" s="38" t="str">
        <f>IF($AV$60="PT",IF(L123="","","m"),"")</f>
        <v>m</v>
      </c>
      <c r="S123" s="189"/>
      <c r="T123" s="137" t="s">
        <v>39</v>
      </c>
      <c r="U123" s="240"/>
      <c r="V123" s="225"/>
      <c r="W123" s="244"/>
      <c r="X123" s="225"/>
      <c r="Y123" s="225"/>
      <c r="Z123" s="240"/>
      <c r="AA123" s="244"/>
      <c r="AC123" s="137"/>
      <c r="AD123" s="137"/>
      <c r="BE123" s="144"/>
      <c r="BF123" s="144"/>
    </row>
    <row r="124" spans="2:58" ht="12">
      <c r="B124" s="38" t="str">
        <f>IF($AV$60="PT","(dans le nouveau repère)","")</f>
        <v>(dans le nouveau repère)</v>
      </c>
      <c r="C124" s="36"/>
      <c r="D124" s="84"/>
      <c r="E124" s="84"/>
      <c r="F124" s="51" t="str">
        <f>IF(G124="","","ou encore :")</f>
        <v>ou encore :</v>
      </c>
      <c r="G124" s="38" t="str">
        <f>IF(L123="","",IF($AV$60="PT","y = "&amp;ROUND(AL28,4)&amp;" x  "&amp;IF(AL29&lt;0,"-","+")&amp;" "&amp;SIGN(AL29)*ROUND(AL29,4),""))</f>
        <v>y = -5.0808 x  + 1.2968</v>
      </c>
      <c r="H124" s="38"/>
      <c r="K124" s="87" t="str">
        <f>IF($AV$60="PT","Pour y = 0 : x =","")</f>
        <v>Pour y = 0 : x =</v>
      </c>
      <c r="L124" s="76">
        <f>IF(u=0,"",IF($AV$60="PT",-w/u,""))</f>
        <v>0.2552301996569857</v>
      </c>
      <c r="M124" s="38" t="str">
        <f>IF($AV$60="PT",IF(L124="","","m"),"")</f>
        <v>m</v>
      </c>
      <c r="S124" s="144">
        <v>1</v>
      </c>
      <c r="T124" s="137">
        <f>INDEX(coa,INT((S124-1)/4)+1,2)</f>
        <v>0.1</v>
      </c>
      <c r="U124" s="240">
        <f>IF(T126=0,0,T124+0.01)</f>
        <v>0.11</v>
      </c>
      <c r="V124" s="225">
        <f>IF(T126=0,0,T125+0.01)</f>
        <v>0.11</v>
      </c>
      <c r="W124" s="244"/>
      <c r="X124" s="225"/>
      <c r="Y124" s="225">
        <f>INDEX(coag,INT((S124-1)/4)+1,1)</f>
        <v>-0.4</v>
      </c>
      <c r="Z124" s="225">
        <f>IF(T126=0,0,Y124+0.01)</f>
        <v>-0.39</v>
      </c>
      <c r="AA124" s="225">
        <f>IF(T126=0,0,Y125+0.01)</f>
        <v>-0.49</v>
      </c>
      <c r="AC124" s="137"/>
      <c r="AD124" s="137"/>
      <c r="BE124" s="144"/>
      <c r="BF124" s="144"/>
    </row>
    <row r="125" spans="5:58" ht="12">
      <c r="E125" s="38"/>
      <c r="K125" s="87" t="str">
        <f>IF($AV$60="PT","Pente :","")</f>
        <v>Pente :</v>
      </c>
      <c r="L125" s="39">
        <f>IF($AV$60="PT",ROUND(BA10*180/PI(),2),"")</f>
        <v>-78.87</v>
      </c>
      <c r="M125" s="38" t="str">
        <f>IF($AV$60="PT","°","")</f>
        <v>°</v>
      </c>
      <c r="S125" s="144">
        <v>2</v>
      </c>
      <c r="T125" s="137">
        <f>INDEX(coa,INT((S124-1)/4)+1,3)</f>
        <v>0.1</v>
      </c>
      <c r="U125" s="240">
        <f>U124</f>
        <v>0.11</v>
      </c>
      <c r="V125" s="225">
        <f>IF(T126=0,0,T125-0.01)</f>
        <v>0.09000000000000001</v>
      </c>
      <c r="W125" s="244"/>
      <c r="X125" s="225"/>
      <c r="Y125" s="225">
        <f>INDEX(coag,INT((S124-1)/4)+1,2)</f>
        <v>-0.5</v>
      </c>
      <c r="Z125" s="225">
        <f>Z124</f>
        <v>-0.39</v>
      </c>
      <c r="AA125" s="225">
        <f>IF(T126=0,0,Y125-0.01)</f>
        <v>-0.51</v>
      </c>
      <c r="AC125" s="137"/>
      <c r="AD125" s="137"/>
      <c r="BE125" s="144"/>
      <c r="BF125" s="144"/>
    </row>
    <row r="126" spans="2:58" ht="12">
      <c r="B126" s="36"/>
      <c r="S126" s="144">
        <v>3</v>
      </c>
      <c r="T126" s="225">
        <f>INDEX(coa,INT((S124-1)/4)+1,1)/2000</f>
        <v>0.0125</v>
      </c>
      <c r="U126" s="240">
        <f>IF(T126=0,0,T124-0.01)</f>
        <v>0.09000000000000001</v>
      </c>
      <c r="V126" s="225">
        <f>V125</f>
        <v>0.09000000000000001</v>
      </c>
      <c r="W126" s="244"/>
      <c r="X126" s="225"/>
      <c r="Y126" s="225">
        <f>T126</f>
        <v>0.0125</v>
      </c>
      <c r="Z126" s="225">
        <f>IF(T126=0,0,Y124-0.01)</f>
        <v>-0.41000000000000003</v>
      </c>
      <c r="AA126" s="225">
        <f>AA125</f>
        <v>-0.51</v>
      </c>
      <c r="AC126" s="137"/>
      <c r="AD126" s="137"/>
      <c r="BE126" s="144"/>
      <c r="BF126" s="144"/>
    </row>
    <row r="127" spans="2:58" ht="12">
      <c r="B127" s="93" t="s">
        <v>304</v>
      </c>
      <c r="S127" s="144">
        <v>4</v>
      </c>
      <c r="U127" s="240">
        <f>U126</f>
        <v>0.09000000000000001</v>
      </c>
      <c r="V127" s="225">
        <f>V124</f>
        <v>0.11</v>
      </c>
      <c r="W127" s="244"/>
      <c r="X127" s="225"/>
      <c r="Y127" s="225"/>
      <c r="Z127" s="225">
        <f>Z126</f>
        <v>-0.41000000000000003</v>
      </c>
      <c r="AA127" s="225">
        <f>AA124</f>
        <v>-0.49</v>
      </c>
      <c r="AC127" s="137"/>
      <c r="AD127" s="137"/>
      <c r="BE127" s="144"/>
      <c r="BF127" s="144"/>
    </row>
    <row r="128" spans="2:58" ht="12">
      <c r="B128" s="36"/>
      <c r="U128" s="240">
        <f>U124</f>
        <v>0.11</v>
      </c>
      <c r="V128" s="225">
        <f>V124</f>
        <v>0.11</v>
      </c>
      <c r="W128" s="244"/>
      <c r="X128" s="225"/>
      <c r="Y128" s="225"/>
      <c r="Z128" s="261">
        <f>Z124</f>
        <v>-0.39</v>
      </c>
      <c r="AA128" s="261">
        <f>AA124</f>
        <v>-0.49</v>
      </c>
      <c r="AC128" s="137"/>
      <c r="AD128" s="137"/>
      <c r="BE128" s="144"/>
      <c r="BF128" s="144"/>
    </row>
    <row r="129" spans="2:58" ht="12">
      <c r="B129" s="36"/>
      <c r="C129" s="36"/>
      <c r="H129" s="36"/>
      <c r="U129" s="240"/>
      <c r="V129" s="225"/>
      <c r="W129" s="244"/>
      <c r="X129" s="225"/>
      <c r="Y129" s="225"/>
      <c r="Z129" s="240"/>
      <c r="AA129" s="244"/>
      <c r="AC129" s="137"/>
      <c r="AD129" s="137"/>
      <c r="BE129" s="144"/>
      <c r="BF129" s="144"/>
    </row>
    <row r="130" spans="2:58" ht="12">
      <c r="B130" s="36"/>
      <c r="C130" s="36"/>
      <c r="H130" s="36"/>
      <c r="S130" s="144">
        <v>5</v>
      </c>
      <c r="T130" s="137">
        <f>INDEX(coa,INT((S130-1)/4)+1,2)</f>
        <v>0.36</v>
      </c>
      <c r="U130" s="240">
        <f>IF(T132=0,0,T130+0.01)</f>
        <v>0.37</v>
      </c>
      <c r="V130" s="225">
        <f>IF(T132=0,0,T131+0.01)</f>
        <v>0.11</v>
      </c>
      <c r="W130" s="244"/>
      <c r="X130" s="225"/>
      <c r="Y130" s="225">
        <f>INDEX(coag,INT((S130-1)/4)+1,1)</f>
        <v>-0.14</v>
      </c>
      <c r="Z130" s="225">
        <f>IF(T132=0,0,Y130+0.01)</f>
        <v>-0.13</v>
      </c>
      <c r="AA130" s="225">
        <f>IF(T132=0,0,Y131+0.01)</f>
        <v>-0.49</v>
      </c>
      <c r="AC130" s="137"/>
      <c r="AD130" s="137"/>
      <c r="BE130" s="144"/>
      <c r="BF130" s="144"/>
    </row>
    <row r="131" spans="2:58" ht="12">
      <c r="B131" s="36"/>
      <c r="C131" s="36"/>
      <c r="H131" s="36"/>
      <c r="S131" s="144">
        <v>6</v>
      </c>
      <c r="T131" s="137">
        <f>INDEX(coa,INT((S130-1)/4)+1,3)</f>
        <v>0.1</v>
      </c>
      <c r="U131" s="240">
        <f>U130</f>
        <v>0.37</v>
      </c>
      <c r="V131" s="225">
        <f>IF(T132=0,0,T131-0.01)</f>
        <v>0.09000000000000001</v>
      </c>
      <c r="W131" s="244"/>
      <c r="X131" s="225"/>
      <c r="Y131" s="225">
        <f>INDEX(coag,INT((S130-1)/4)+1,2)</f>
        <v>-0.5</v>
      </c>
      <c r="Z131" s="225">
        <f>Z130</f>
        <v>-0.13</v>
      </c>
      <c r="AA131" s="225">
        <f>IF(T132=0,0,Y131-0.01)</f>
        <v>-0.51</v>
      </c>
      <c r="AC131" s="137"/>
      <c r="AD131" s="137"/>
      <c r="BE131" s="144"/>
      <c r="BF131" s="144"/>
    </row>
    <row r="132" spans="2:58" ht="12">
      <c r="B132" s="36"/>
      <c r="C132" s="36"/>
      <c r="H132" s="36"/>
      <c r="S132" s="144">
        <v>7</v>
      </c>
      <c r="T132" s="225">
        <f>INDEX(coa,INT((S130-1)/4)+1,1)/2000</f>
        <v>0.0125</v>
      </c>
      <c r="U132" s="240">
        <f>IF(T132=0,0,T130-0.01)</f>
        <v>0.35</v>
      </c>
      <c r="V132" s="225">
        <f>V131</f>
        <v>0.09000000000000001</v>
      </c>
      <c r="W132" s="244"/>
      <c r="X132" s="225"/>
      <c r="Y132" s="225">
        <f>T132</f>
        <v>0.0125</v>
      </c>
      <c r="Z132" s="225">
        <f>IF(T132=0,0,Y130-0.01)</f>
        <v>-0.15000000000000002</v>
      </c>
      <c r="AA132" s="225">
        <f>AA131</f>
        <v>-0.51</v>
      </c>
      <c r="AC132" s="137"/>
      <c r="AD132" s="137"/>
      <c r="BE132" s="144"/>
      <c r="BF132" s="144"/>
    </row>
    <row r="133" spans="2:58" ht="12">
      <c r="B133" s="36"/>
      <c r="C133" s="36"/>
      <c r="H133" s="36"/>
      <c r="S133" s="144">
        <v>8</v>
      </c>
      <c r="U133" s="240">
        <f>U132</f>
        <v>0.35</v>
      </c>
      <c r="V133" s="225">
        <f>V130</f>
        <v>0.11</v>
      </c>
      <c r="W133" s="244"/>
      <c r="X133" s="225"/>
      <c r="Y133" s="225"/>
      <c r="Z133" s="225">
        <f>Z132</f>
        <v>-0.15000000000000002</v>
      </c>
      <c r="AA133" s="225">
        <f>AA130</f>
        <v>-0.49</v>
      </c>
      <c r="AC133" s="137"/>
      <c r="AD133" s="137"/>
      <c r="BE133" s="144"/>
      <c r="BF133" s="144"/>
    </row>
    <row r="134" spans="2:58" ht="12">
      <c r="B134" s="36"/>
      <c r="C134" s="36"/>
      <c r="H134" s="36"/>
      <c r="U134" s="240">
        <f>U130</f>
        <v>0.37</v>
      </c>
      <c r="V134" s="225">
        <f>V130</f>
        <v>0.11</v>
      </c>
      <c r="W134" s="244"/>
      <c r="X134" s="225"/>
      <c r="Y134" s="225"/>
      <c r="Z134" s="261">
        <f>Z130</f>
        <v>-0.13</v>
      </c>
      <c r="AA134" s="261">
        <f>AA130</f>
        <v>-0.49</v>
      </c>
      <c r="AC134" s="137"/>
      <c r="AD134" s="137"/>
      <c r="BE134" s="144"/>
      <c r="BF134" s="144"/>
    </row>
    <row r="135" spans="2:58" ht="12">
      <c r="B135" s="36"/>
      <c r="C135" s="36"/>
      <c r="H135" s="36"/>
      <c r="U135" s="240"/>
      <c r="V135" s="225"/>
      <c r="W135" s="244"/>
      <c r="X135" s="225"/>
      <c r="Y135" s="225"/>
      <c r="Z135" s="240"/>
      <c r="AA135" s="244"/>
      <c r="AC135" s="137"/>
      <c r="AD135" s="137"/>
      <c r="BE135" s="144"/>
      <c r="BF135" s="144"/>
    </row>
    <row r="136" spans="2:58" ht="12">
      <c r="B136" s="36"/>
      <c r="C136" s="36"/>
      <c r="H136" s="36"/>
      <c r="S136" s="144">
        <v>9</v>
      </c>
      <c r="T136" s="137">
        <f>INDEX(coa,INT((S136-1)/4)+1,2)</f>
        <v>0.64</v>
      </c>
      <c r="U136" s="240">
        <f>IF(T138=0,0,T136+0.01)</f>
        <v>0.65</v>
      </c>
      <c r="V136" s="225">
        <f>IF(T138=0,0,T137+0.01)</f>
        <v>0.11</v>
      </c>
      <c r="W136" s="244"/>
      <c r="X136" s="225"/>
      <c r="Y136" s="225">
        <f>INDEX(coag,INT((S136-1)/4)+1,1)</f>
        <v>0.14</v>
      </c>
      <c r="Z136" s="225">
        <f>IF(T138=0,0,Y136+0.01)</f>
        <v>0.15000000000000002</v>
      </c>
      <c r="AA136" s="225">
        <f>IF(T138=0,0,Y137+0.01)</f>
        <v>-0.49</v>
      </c>
      <c r="AC136" s="137"/>
      <c r="AD136" s="137"/>
      <c r="BE136" s="144"/>
      <c r="BF136" s="144"/>
    </row>
    <row r="137" spans="2:58" ht="12">
      <c r="B137" s="36"/>
      <c r="C137" s="36"/>
      <c r="H137" s="36"/>
      <c r="S137" s="144">
        <v>10</v>
      </c>
      <c r="T137" s="137">
        <f>INDEX(coa,INT((S136-1)/4)+1,3)</f>
        <v>0.1</v>
      </c>
      <c r="U137" s="240">
        <f>U136</f>
        <v>0.65</v>
      </c>
      <c r="V137" s="225">
        <f>IF(T138=0,0,T137-0.01)</f>
        <v>0.09000000000000001</v>
      </c>
      <c r="W137" s="244"/>
      <c r="X137" s="225"/>
      <c r="Y137" s="225">
        <f>INDEX(coag,INT((S136-1)/4)+1,2)</f>
        <v>-0.5</v>
      </c>
      <c r="Z137" s="225">
        <f>Z136</f>
        <v>0.15000000000000002</v>
      </c>
      <c r="AA137" s="225">
        <f>IF(T138=0,0,Y137-0.01)</f>
        <v>-0.51</v>
      </c>
      <c r="AC137" s="137"/>
      <c r="AD137" s="137"/>
      <c r="BE137" s="144"/>
      <c r="BF137" s="144"/>
    </row>
    <row r="138" spans="2:58" ht="12">
      <c r="B138" s="36"/>
      <c r="C138" s="36"/>
      <c r="H138" s="36"/>
      <c r="S138" s="144">
        <v>11</v>
      </c>
      <c r="T138" s="225">
        <f>INDEX(coa,INT((S136-1)/4)+1,1)/2000</f>
        <v>0.0125</v>
      </c>
      <c r="U138" s="240">
        <f>IF(T138=0,0,T136-0.01)</f>
        <v>0.63</v>
      </c>
      <c r="V138" s="225">
        <f>V137</f>
        <v>0.09000000000000001</v>
      </c>
      <c r="W138" s="244"/>
      <c r="X138" s="225"/>
      <c r="Y138" s="225">
        <f>T138</f>
        <v>0.0125</v>
      </c>
      <c r="Z138" s="225">
        <f>IF(T138=0,0,Y136-0.01)</f>
        <v>0.13</v>
      </c>
      <c r="AA138" s="225">
        <f>AA137</f>
        <v>-0.51</v>
      </c>
      <c r="AC138" s="137"/>
      <c r="AD138" s="137"/>
      <c r="BE138" s="144"/>
      <c r="BF138" s="144"/>
    </row>
    <row r="139" spans="2:58" ht="12">
      <c r="B139" s="36"/>
      <c r="C139" s="36"/>
      <c r="H139" s="36"/>
      <c r="S139" s="144">
        <v>12</v>
      </c>
      <c r="U139" s="240">
        <f>U138</f>
        <v>0.63</v>
      </c>
      <c r="V139" s="225">
        <f>V136</f>
        <v>0.11</v>
      </c>
      <c r="W139" s="244"/>
      <c r="X139" s="225"/>
      <c r="Y139" s="225"/>
      <c r="Z139" s="225">
        <f>Z138</f>
        <v>0.13</v>
      </c>
      <c r="AA139" s="225">
        <f>AA136</f>
        <v>-0.49</v>
      </c>
      <c r="AC139" s="137"/>
      <c r="AD139" s="137"/>
      <c r="BE139" s="144"/>
      <c r="BF139" s="144"/>
    </row>
    <row r="140" spans="2:58" ht="12">
      <c r="B140" s="36"/>
      <c r="C140" s="36"/>
      <c r="H140" s="36"/>
      <c r="U140" s="240">
        <f>U136</f>
        <v>0.65</v>
      </c>
      <c r="V140" s="225">
        <f>V136</f>
        <v>0.11</v>
      </c>
      <c r="W140" s="244"/>
      <c r="X140" s="225"/>
      <c r="Y140" s="225"/>
      <c r="Z140" s="261">
        <f>Z136</f>
        <v>0.15000000000000002</v>
      </c>
      <c r="AA140" s="261">
        <f>AA136</f>
        <v>-0.49</v>
      </c>
      <c r="AC140" s="137"/>
      <c r="AD140" s="137"/>
      <c r="BE140" s="144"/>
      <c r="BF140" s="144"/>
    </row>
    <row r="141" spans="2:58" ht="12">
      <c r="B141" s="36"/>
      <c r="C141" s="36"/>
      <c r="H141" s="36"/>
      <c r="U141" s="240"/>
      <c r="V141" s="225"/>
      <c r="W141" s="244"/>
      <c r="X141" s="225"/>
      <c r="Y141" s="225"/>
      <c r="Z141" s="240"/>
      <c r="AA141" s="244"/>
      <c r="AC141" s="137"/>
      <c r="AD141" s="137"/>
      <c r="BE141" s="144"/>
      <c r="BF141" s="144"/>
    </row>
    <row r="142" spans="2:58" ht="12">
      <c r="B142" s="36"/>
      <c r="C142" s="36"/>
      <c r="H142" s="36"/>
      <c r="S142" s="144">
        <v>13</v>
      </c>
      <c r="T142" s="137">
        <f>INDEX(coa,INT((S142-1)/4)+1,2)</f>
        <v>0.9</v>
      </c>
      <c r="U142" s="240">
        <f>IF(T144=0,0,T142+0.01)</f>
        <v>0.91</v>
      </c>
      <c r="V142" s="225">
        <f>IF(T144=0,0,T143+0.01)</f>
        <v>0.11</v>
      </c>
      <c r="W142" s="244"/>
      <c r="X142" s="225"/>
      <c r="Y142" s="225">
        <f>INDEX(coag,INT((S142-1)/4)+1,1)</f>
        <v>0.4</v>
      </c>
      <c r="Z142" s="225">
        <f>IF(T144=0,0,Y142+0.01)</f>
        <v>0.41000000000000003</v>
      </c>
      <c r="AA142" s="225">
        <f>IF(T144=0,0,Y143+0.01)</f>
        <v>-0.49</v>
      </c>
      <c r="AC142" s="137"/>
      <c r="AD142" s="137"/>
      <c r="BE142" s="144"/>
      <c r="BF142" s="144"/>
    </row>
    <row r="143" spans="2:58" ht="12">
      <c r="B143" s="36"/>
      <c r="C143" s="36"/>
      <c r="H143" s="36"/>
      <c r="S143" s="144">
        <v>14</v>
      </c>
      <c r="T143" s="137">
        <f>INDEX(coa,INT((S142-1)/4)+1,3)</f>
        <v>0.1</v>
      </c>
      <c r="U143" s="240">
        <f>U142</f>
        <v>0.91</v>
      </c>
      <c r="V143" s="225">
        <f>IF(T144=0,0,T143-0.01)</f>
        <v>0.09000000000000001</v>
      </c>
      <c r="W143" s="244"/>
      <c r="X143" s="225"/>
      <c r="Y143" s="225">
        <f>INDEX(coag,INT((S142-1)/4)+1,2)</f>
        <v>-0.5</v>
      </c>
      <c r="Z143" s="225">
        <f>Z142</f>
        <v>0.41000000000000003</v>
      </c>
      <c r="AA143" s="225">
        <f>IF(T144=0,0,Y143-0.01)</f>
        <v>-0.51</v>
      </c>
      <c r="AC143" s="137"/>
      <c r="AD143" s="137"/>
      <c r="BE143" s="144"/>
      <c r="BF143" s="144"/>
    </row>
    <row r="144" spans="2:58" ht="12">
      <c r="B144" s="36"/>
      <c r="C144" s="36"/>
      <c r="H144" s="36"/>
      <c r="S144" s="144">
        <v>15</v>
      </c>
      <c r="T144" s="225">
        <f>INDEX(coa,INT((S142-1)/4)+1,1)/2000</f>
        <v>0.0125</v>
      </c>
      <c r="U144" s="240">
        <f>IF(T144=0,0,T142-0.01)</f>
        <v>0.89</v>
      </c>
      <c r="V144" s="225">
        <f>V143</f>
        <v>0.09000000000000001</v>
      </c>
      <c r="W144" s="244"/>
      <c r="X144" s="225"/>
      <c r="Y144" s="225">
        <f>T144</f>
        <v>0.0125</v>
      </c>
      <c r="Z144" s="225">
        <f>IF(T144=0,0,Y142-0.01)</f>
        <v>0.39</v>
      </c>
      <c r="AA144" s="225">
        <f>AA143</f>
        <v>-0.51</v>
      </c>
      <c r="AC144" s="137"/>
      <c r="AD144" s="137"/>
      <c r="BE144" s="144"/>
      <c r="BF144" s="144"/>
    </row>
    <row r="145" spans="2:58" ht="12">
      <c r="B145" s="36"/>
      <c r="C145" s="36"/>
      <c r="H145" s="36"/>
      <c r="S145" s="144">
        <v>16</v>
      </c>
      <c r="U145" s="240">
        <f>U144</f>
        <v>0.89</v>
      </c>
      <c r="V145" s="225">
        <f>V142</f>
        <v>0.11</v>
      </c>
      <c r="W145" s="244"/>
      <c r="X145" s="225"/>
      <c r="Y145" s="225"/>
      <c r="Z145" s="225">
        <f>Z144</f>
        <v>0.39</v>
      </c>
      <c r="AA145" s="225">
        <f>AA142</f>
        <v>-0.49</v>
      </c>
      <c r="AC145" s="137"/>
      <c r="AD145" s="137"/>
      <c r="BE145" s="144"/>
      <c r="BF145" s="144"/>
    </row>
    <row r="146" spans="2:58" ht="12">
      <c r="B146" s="36"/>
      <c r="C146" s="36"/>
      <c r="H146" s="36"/>
      <c r="U146" s="240">
        <f>U142</f>
        <v>0.91</v>
      </c>
      <c r="V146" s="225">
        <f>V142</f>
        <v>0.11</v>
      </c>
      <c r="W146" s="244"/>
      <c r="X146" s="225"/>
      <c r="Y146" s="225"/>
      <c r="Z146" s="261">
        <f>Z142</f>
        <v>0.41000000000000003</v>
      </c>
      <c r="AA146" s="261">
        <f>AA142</f>
        <v>-0.49</v>
      </c>
      <c r="AC146" s="137"/>
      <c r="AD146" s="137"/>
      <c r="BE146" s="144"/>
      <c r="BF146" s="144"/>
    </row>
    <row r="147" spans="2:58" ht="12">
      <c r="B147" s="36"/>
      <c r="C147" s="36"/>
      <c r="H147" s="36"/>
      <c r="U147" s="240"/>
      <c r="V147" s="225"/>
      <c r="W147" s="244"/>
      <c r="X147" s="225"/>
      <c r="Y147" s="225"/>
      <c r="Z147" s="240"/>
      <c r="AA147" s="244"/>
      <c r="AC147" s="137"/>
      <c r="AD147" s="137"/>
      <c r="BE147" s="144"/>
      <c r="BF147" s="144"/>
    </row>
    <row r="148" spans="2:58" ht="12">
      <c r="B148" s="36"/>
      <c r="C148" s="36"/>
      <c r="H148" s="36"/>
      <c r="S148" s="144">
        <v>17</v>
      </c>
      <c r="T148" s="137">
        <f>INDEX(coa,INT((S148-1)/4)+1,2)</f>
        <v>0.1</v>
      </c>
      <c r="U148" s="240">
        <f>IF(T150=0,0,T148+0.01)</f>
        <v>0.11</v>
      </c>
      <c r="V148" s="225">
        <f>IF(T150=0,0,T149+0.01)</f>
        <v>1.11</v>
      </c>
      <c r="W148" s="244"/>
      <c r="X148" s="225"/>
      <c r="Y148" s="225">
        <f>INDEX(coag,INT((S148-1)/4)+1,1)</f>
        <v>-0.4</v>
      </c>
      <c r="Z148" s="225">
        <f>IF(T150=0,0,Y148+0.01)</f>
        <v>-0.39</v>
      </c>
      <c r="AA148" s="225">
        <f>IF(T150=0,0,Y149+0.01)</f>
        <v>0.5100000000000001</v>
      </c>
      <c r="AC148" s="137"/>
      <c r="AD148" s="137"/>
      <c r="BE148" s="144"/>
      <c r="BF148" s="144"/>
    </row>
    <row r="149" spans="2:58" ht="12">
      <c r="B149" s="36"/>
      <c r="C149" s="36"/>
      <c r="H149" s="36"/>
      <c r="S149" s="144">
        <v>18</v>
      </c>
      <c r="T149" s="137">
        <f>INDEX(coa,INT((S148-1)/4)+1,3)</f>
        <v>1.1</v>
      </c>
      <c r="U149" s="240">
        <f>U148</f>
        <v>0.11</v>
      </c>
      <c r="V149" s="225">
        <f>IF(T150=0,0,T149-0.01)</f>
        <v>1.09</v>
      </c>
      <c r="W149" s="244"/>
      <c r="X149" s="225"/>
      <c r="Y149" s="225">
        <f>INDEX(coag,INT((S148-1)/4)+1,2)</f>
        <v>0.5000000000000001</v>
      </c>
      <c r="Z149" s="225">
        <f>Z148</f>
        <v>-0.39</v>
      </c>
      <c r="AA149" s="225">
        <f>IF(T150=0,0,Y149-0.01)</f>
        <v>0.4900000000000001</v>
      </c>
      <c r="AC149" s="137"/>
      <c r="AD149" s="137"/>
      <c r="BE149" s="144"/>
      <c r="BF149" s="144"/>
    </row>
    <row r="150" spans="2:58" ht="12">
      <c r="B150" s="36"/>
      <c r="C150" s="36"/>
      <c r="H150" s="36"/>
      <c r="S150" s="144">
        <v>19</v>
      </c>
      <c r="T150" s="225">
        <f>INDEX(coa,INT((S148-1)/4)+1,1)/2000</f>
        <v>0.0125</v>
      </c>
      <c r="U150" s="240">
        <f>IF(T150=0,0,T148-0.01)</f>
        <v>0.09000000000000001</v>
      </c>
      <c r="V150" s="225">
        <f>V149</f>
        <v>1.09</v>
      </c>
      <c r="W150" s="244"/>
      <c r="X150" s="225"/>
      <c r="Y150" s="225">
        <f>T150</f>
        <v>0.0125</v>
      </c>
      <c r="Z150" s="225">
        <f>IF(T150=0,0,Y148-0.01)</f>
        <v>-0.41000000000000003</v>
      </c>
      <c r="AA150" s="225">
        <f>AA149</f>
        <v>0.4900000000000001</v>
      </c>
      <c r="AC150" s="137"/>
      <c r="AD150" s="137"/>
      <c r="BE150" s="144"/>
      <c r="BF150" s="144"/>
    </row>
    <row r="151" spans="2:58" ht="12">
      <c r="B151" s="36"/>
      <c r="C151" s="36"/>
      <c r="H151" s="36"/>
      <c r="S151" s="144">
        <v>20</v>
      </c>
      <c r="U151" s="240">
        <f>U150</f>
        <v>0.09000000000000001</v>
      </c>
      <c r="V151" s="225">
        <f>V148</f>
        <v>1.11</v>
      </c>
      <c r="W151" s="244"/>
      <c r="X151" s="225"/>
      <c r="Y151" s="225"/>
      <c r="Z151" s="225">
        <f>Z150</f>
        <v>-0.41000000000000003</v>
      </c>
      <c r="AA151" s="225">
        <f>AA148</f>
        <v>0.5100000000000001</v>
      </c>
      <c r="AC151" s="137"/>
      <c r="AD151" s="137"/>
      <c r="BE151" s="144"/>
      <c r="BF151" s="144"/>
    </row>
    <row r="152" spans="2:58" ht="12">
      <c r="B152" s="36"/>
      <c r="C152" s="36"/>
      <c r="H152" s="36"/>
      <c r="U152" s="240">
        <f>U148</f>
        <v>0.11</v>
      </c>
      <c r="V152" s="225">
        <f>V148</f>
        <v>1.11</v>
      </c>
      <c r="W152" s="244"/>
      <c r="X152" s="225"/>
      <c r="Y152" s="225"/>
      <c r="Z152" s="261">
        <f>Z148</f>
        <v>-0.39</v>
      </c>
      <c r="AA152" s="261">
        <f>AA148</f>
        <v>0.5100000000000001</v>
      </c>
      <c r="AC152" s="137"/>
      <c r="AD152" s="137"/>
      <c r="BE152" s="144"/>
      <c r="BF152" s="144"/>
    </row>
    <row r="153" spans="2:58" ht="12">
      <c r="B153" s="36"/>
      <c r="C153" s="36"/>
      <c r="H153" s="36"/>
      <c r="U153" s="240"/>
      <c r="V153" s="225"/>
      <c r="W153" s="244"/>
      <c r="X153" s="225"/>
      <c r="Y153" s="225"/>
      <c r="Z153" s="240"/>
      <c r="AA153" s="244"/>
      <c r="AC153" s="137"/>
      <c r="AD153" s="137"/>
      <c r="BE153" s="144"/>
      <c r="BF153" s="144"/>
    </row>
    <row r="154" spans="2:58" ht="12">
      <c r="B154" s="36"/>
      <c r="C154" s="36"/>
      <c r="H154" s="36"/>
      <c r="S154" s="144">
        <v>21</v>
      </c>
      <c r="T154" s="137">
        <f>INDEX(coa,INT((S154-1)/4)+1,2)</f>
        <v>0.36</v>
      </c>
      <c r="U154" s="240">
        <f>IF(T156=0,0,T154+0.01)</f>
        <v>0.37</v>
      </c>
      <c r="V154" s="225">
        <f>IF(T156=0,0,T155+0.01)</f>
        <v>1.11</v>
      </c>
      <c r="W154" s="244"/>
      <c r="X154" s="225"/>
      <c r="Y154" s="225">
        <f>INDEX(coag,INT((S154-1)/4)+1,1)</f>
        <v>-0.14</v>
      </c>
      <c r="Z154" s="225">
        <f>IF(T156=0,0,Y154+0.01)</f>
        <v>-0.13</v>
      </c>
      <c r="AA154" s="225">
        <f>IF(T156=0,0,Y155+0.01)</f>
        <v>0.5100000000000001</v>
      </c>
      <c r="AC154" s="137"/>
      <c r="AD154" s="137"/>
      <c r="BE154" s="144"/>
      <c r="BF154" s="144"/>
    </row>
    <row r="155" spans="2:58" ht="12">
      <c r="B155" s="36"/>
      <c r="C155" s="36"/>
      <c r="H155" s="36"/>
      <c r="S155" s="144">
        <v>22</v>
      </c>
      <c r="T155" s="137">
        <f>INDEX(coa,INT((S154-1)/4)+1,3)</f>
        <v>1.1</v>
      </c>
      <c r="U155" s="240">
        <f>U154</f>
        <v>0.37</v>
      </c>
      <c r="V155" s="225">
        <f>IF(T156=0,0,T155-0.01)</f>
        <v>1.09</v>
      </c>
      <c r="W155" s="244"/>
      <c r="X155" s="225"/>
      <c r="Y155" s="225">
        <f>INDEX(coag,INT((S154-1)/4)+1,2)</f>
        <v>0.5000000000000001</v>
      </c>
      <c r="Z155" s="225">
        <f>Z154</f>
        <v>-0.13</v>
      </c>
      <c r="AA155" s="225">
        <f>IF(T156=0,0,Y155-0.01)</f>
        <v>0.4900000000000001</v>
      </c>
      <c r="AC155" s="137"/>
      <c r="AD155" s="137"/>
      <c r="BE155" s="144"/>
      <c r="BF155" s="144"/>
    </row>
    <row r="156" spans="2:58" ht="12">
      <c r="B156" s="36"/>
      <c r="C156" s="36"/>
      <c r="H156" s="36"/>
      <c r="S156" s="144">
        <v>23</v>
      </c>
      <c r="T156" s="225">
        <f>INDEX(coa,INT((S154-1)/4)+1,1)/2000</f>
        <v>0.0125</v>
      </c>
      <c r="U156" s="240">
        <f>IF(T156=0,0,T154-0.01)</f>
        <v>0.35</v>
      </c>
      <c r="V156" s="225">
        <f>V155</f>
        <v>1.09</v>
      </c>
      <c r="W156" s="244"/>
      <c r="X156" s="225"/>
      <c r="Y156" s="225">
        <f>T156</f>
        <v>0.0125</v>
      </c>
      <c r="Z156" s="225">
        <f>IF(T156=0,0,Y154-0.01)</f>
        <v>-0.15000000000000002</v>
      </c>
      <c r="AA156" s="225">
        <f>AA155</f>
        <v>0.4900000000000001</v>
      </c>
      <c r="AC156" s="137"/>
      <c r="AD156" s="137"/>
      <c r="BE156" s="144"/>
      <c r="BF156" s="144"/>
    </row>
    <row r="157" spans="2:58" ht="12">
      <c r="B157" s="36"/>
      <c r="C157" s="36"/>
      <c r="H157" s="36"/>
      <c r="S157" s="144">
        <v>24</v>
      </c>
      <c r="U157" s="240">
        <f>U156</f>
        <v>0.35</v>
      </c>
      <c r="V157" s="225">
        <f>V154</f>
        <v>1.11</v>
      </c>
      <c r="W157" s="244"/>
      <c r="X157" s="225"/>
      <c r="Y157" s="225"/>
      <c r="Z157" s="225">
        <f>Z156</f>
        <v>-0.15000000000000002</v>
      </c>
      <c r="AA157" s="225">
        <f>AA154</f>
        <v>0.5100000000000001</v>
      </c>
      <c r="AC157" s="137"/>
      <c r="AD157" s="137"/>
      <c r="BE157" s="144"/>
      <c r="BF157" s="144"/>
    </row>
    <row r="158" spans="2:58" ht="12">
      <c r="B158" s="36"/>
      <c r="C158" s="36"/>
      <c r="H158" s="36"/>
      <c r="U158" s="240">
        <f>U154</f>
        <v>0.37</v>
      </c>
      <c r="V158" s="225">
        <f>V154</f>
        <v>1.11</v>
      </c>
      <c r="W158" s="244"/>
      <c r="X158" s="225"/>
      <c r="Y158" s="225"/>
      <c r="Z158" s="261">
        <f>Z154</f>
        <v>-0.13</v>
      </c>
      <c r="AA158" s="261">
        <f>AA154</f>
        <v>0.5100000000000001</v>
      </c>
      <c r="AC158" s="137"/>
      <c r="AD158" s="137"/>
      <c r="BE158" s="144"/>
      <c r="BF158" s="144"/>
    </row>
    <row r="159" spans="2:58" ht="12">
      <c r="B159" s="36"/>
      <c r="C159" s="36"/>
      <c r="H159" s="36"/>
      <c r="U159" s="240"/>
      <c r="V159" s="225"/>
      <c r="W159" s="244"/>
      <c r="X159" s="225"/>
      <c r="Y159" s="225"/>
      <c r="Z159" s="240"/>
      <c r="AA159" s="244"/>
      <c r="AC159" s="137"/>
      <c r="AD159" s="137"/>
      <c r="BE159" s="144"/>
      <c r="BF159" s="144"/>
    </row>
    <row r="160" spans="2:58" ht="12">
      <c r="B160" s="36"/>
      <c r="C160" s="36"/>
      <c r="H160" s="36"/>
      <c r="S160" s="144">
        <v>25</v>
      </c>
      <c r="T160" s="137">
        <f>INDEX(coa,INT((S160-1)/4)+1,2)</f>
        <v>0.64</v>
      </c>
      <c r="U160" s="240">
        <f>IF(T162=0,0,T160+0.01)</f>
        <v>0.65</v>
      </c>
      <c r="V160" s="225">
        <f>IF(T162=0,0,T161+0.01)</f>
        <v>1.11</v>
      </c>
      <c r="W160" s="244"/>
      <c r="X160" s="225"/>
      <c r="Y160" s="225">
        <f>INDEX(coag,INT((S160-1)/4)+1,1)</f>
        <v>0.14</v>
      </c>
      <c r="Z160" s="225">
        <f>IF(T162=0,0,Y160+0.01)</f>
        <v>0.15000000000000002</v>
      </c>
      <c r="AA160" s="225">
        <f>IF(T162=0,0,Y161+0.01)</f>
        <v>0.5100000000000001</v>
      </c>
      <c r="AC160" s="137"/>
      <c r="AD160" s="137"/>
      <c r="BE160" s="144"/>
      <c r="BF160" s="144"/>
    </row>
    <row r="161" spans="2:58" ht="12">
      <c r="B161" s="36"/>
      <c r="C161" s="36"/>
      <c r="H161" s="36"/>
      <c r="S161" s="144">
        <v>26</v>
      </c>
      <c r="T161" s="137">
        <f>INDEX(coa,INT((S160-1)/4)+1,3)</f>
        <v>1.1</v>
      </c>
      <c r="U161" s="240">
        <f>U160</f>
        <v>0.65</v>
      </c>
      <c r="V161" s="225">
        <f>IF(T162=0,0,T161-0.01)</f>
        <v>1.09</v>
      </c>
      <c r="W161" s="244"/>
      <c r="X161" s="225"/>
      <c r="Y161" s="225">
        <f>INDEX(coag,INT((S160-1)/4)+1,2)</f>
        <v>0.5000000000000001</v>
      </c>
      <c r="Z161" s="225">
        <f>Z160</f>
        <v>0.15000000000000002</v>
      </c>
      <c r="AA161" s="225">
        <f>IF(T162=0,0,Y161-0.01)</f>
        <v>0.4900000000000001</v>
      </c>
      <c r="AC161" s="137"/>
      <c r="AD161" s="137"/>
      <c r="BE161" s="144"/>
      <c r="BF161" s="144"/>
    </row>
    <row r="162" spans="2:58" ht="12">
      <c r="B162" s="36"/>
      <c r="C162" s="36"/>
      <c r="H162" s="36"/>
      <c r="S162" s="144">
        <v>27</v>
      </c>
      <c r="T162" s="225">
        <f>INDEX(coa,INT((S160-1)/4)+1,1)/2000</f>
        <v>0.0125</v>
      </c>
      <c r="U162" s="240">
        <f>IF(T162=0,0,T160-0.01)</f>
        <v>0.63</v>
      </c>
      <c r="V162" s="225">
        <f>V161</f>
        <v>1.09</v>
      </c>
      <c r="W162" s="244"/>
      <c r="X162" s="225"/>
      <c r="Y162" s="225">
        <f>T162</f>
        <v>0.0125</v>
      </c>
      <c r="Z162" s="225">
        <f>IF(T162=0,0,Y160-0.01)</f>
        <v>0.13</v>
      </c>
      <c r="AA162" s="225">
        <f>AA161</f>
        <v>0.4900000000000001</v>
      </c>
      <c r="AC162" s="137"/>
      <c r="AD162" s="137"/>
      <c r="BE162" s="144"/>
      <c r="BF162" s="144"/>
    </row>
    <row r="163" spans="2:58" ht="12">
      <c r="B163" s="36"/>
      <c r="C163" s="36"/>
      <c r="H163" s="36"/>
      <c r="S163" s="144">
        <v>28</v>
      </c>
      <c r="U163" s="240">
        <f>U162</f>
        <v>0.63</v>
      </c>
      <c r="V163" s="225">
        <f>V160</f>
        <v>1.11</v>
      </c>
      <c r="W163" s="244"/>
      <c r="X163" s="225"/>
      <c r="Y163" s="225"/>
      <c r="Z163" s="225">
        <f>Z162</f>
        <v>0.13</v>
      </c>
      <c r="AA163" s="225">
        <f>AA160</f>
        <v>0.5100000000000001</v>
      </c>
      <c r="AC163" s="137"/>
      <c r="AD163" s="137"/>
      <c r="BE163" s="144"/>
      <c r="BF163" s="144"/>
    </row>
    <row r="164" spans="2:58" ht="12">
      <c r="B164" s="36"/>
      <c r="C164" s="36"/>
      <c r="H164" s="36"/>
      <c r="U164" s="240">
        <f>U160</f>
        <v>0.65</v>
      </c>
      <c r="V164" s="225">
        <f>V160</f>
        <v>1.11</v>
      </c>
      <c r="W164" s="244"/>
      <c r="X164" s="225"/>
      <c r="Y164" s="225"/>
      <c r="Z164" s="261">
        <f>Z160</f>
        <v>0.15000000000000002</v>
      </c>
      <c r="AA164" s="261">
        <f>AA160</f>
        <v>0.5100000000000001</v>
      </c>
      <c r="AC164" s="137"/>
      <c r="AD164" s="137"/>
      <c r="BE164" s="144"/>
      <c r="BF164" s="144"/>
    </row>
    <row r="165" spans="2:58" ht="12">
      <c r="B165" s="36"/>
      <c r="C165" s="36"/>
      <c r="H165" s="36"/>
      <c r="U165" s="240"/>
      <c r="V165" s="225"/>
      <c r="W165" s="244"/>
      <c r="X165" s="225"/>
      <c r="Y165" s="225"/>
      <c r="Z165" s="240"/>
      <c r="AA165" s="244"/>
      <c r="AC165" s="137"/>
      <c r="AD165" s="137"/>
      <c r="BE165" s="144"/>
      <c r="BF165" s="144"/>
    </row>
    <row r="166" spans="2:58" ht="12">
      <c r="B166" s="36"/>
      <c r="C166" s="36"/>
      <c r="H166" s="36"/>
      <c r="S166" s="144">
        <v>29</v>
      </c>
      <c r="T166" s="137">
        <f>INDEX(coa,INT((S166-1)/4)+1,2)</f>
        <v>0.9</v>
      </c>
      <c r="U166" s="240">
        <f>IF(T168=0,0,T166+0.01)</f>
        <v>0.91</v>
      </c>
      <c r="V166" s="225">
        <f>IF(T168=0,0,T167+0.01)</f>
        <v>1.11</v>
      </c>
      <c r="W166" s="244"/>
      <c r="X166" s="225"/>
      <c r="Y166" s="225">
        <f>INDEX(coag,INT((S166-1)/4)+1,1)</f>
        <v>0.4</v>
      </c>
      <c r="Z166" s="225">
        <f>IF(T168=0,0,Y166+0.01)</f>
        <v>0.41000000000000003</v>
      </c>
      <c r="AA166" s="225">
        <f>IF(T168=0,0,Y167+0.01)</f>
        <v>0.5100000000000001</v>
      </c>
      <c r="AC166" s="137"/>
      <c r="AD166" s="137"/>
      <c r="BE166" s="144"/>
      <c r="BF166" s="144"/>
    </row>
    <row r="167" spans="2:58" ht="12">
      <c r="B167" s="36"/>
      <c r="C167" s="36"/>
      <c r="H167" s="36"/>
      <c r="S167" s="144">
        <v>30</v>
      </c>
      <c r="T167" s="137">
        <f>INDEX(coa,INT((S166-1)/4)+1,3)</f>
        <v>1.1</v>
      </c>
      <c r="U167" s="240">
        <f>U166</f>
        <v>0.91</v>
      </c>
      <c r="V167" s="225">
        <f>IF(T168=0,0,T167-0.01)</f>
        <v>1.09</v>
      </c>
      <c r="W167" s="244"/>
      <c r="X167" s="225"/>
      <c r="Y167" s="225">
        <f>INDEX(coag,INT((S166-1)/4)+1,2)</f>
        <v>0.5000000000000001</v>
      </c>
      <c r="Z167" s="225">
        <f>Z166</f>
        <v>0.41000000000000003</v>
      </c>
      <c r="AA167" s="225">
        <f>IF(T168=0,0,Y167-0.01)</f>
        <v>0.4900000000000001</v>
      </c>
      <c r="AC167" s="137"/>
      <c r="AD167" s="137"/>
      <c r="BE167" s="144"/>
      <c r="BF167" s="144"/>
    </row>
    <row r="168" spans="2:58" ht="12">
      <c r="B168" s="36"/>
      <c r="C168" s="36"/>
      <c r="H168" s="36"/>
      <c r="S168" s="144">
        <v>31</v>
      </c>
      <c r="T168" s="225">
        <f>INDEX(coa,INT((S166-1)/4)+1,1)/2000</f>
        <v>0.0125</v>
      </c>
      <c r="U168" s="240">
        <f>IF(T168=0,0,T166-0.01)</f>
        <v>0.89</v>
      </c>
      <c r="V168" s="225">
        <f>V167</f>
        <v>1.09</v>
      </c>
      <c r="W168" s="244"/>
      <c r="X168" s="225"/>
      <c r="Y168" s="225">
        <f>T168</f>
        <v>0.0125</v>
      </c>
      <c r="Z168" s="225">
        <f>IF(T168=0,0,Y166-0.01)</f>
        <v>0.39</v>
      </c>
      <c r="AA168" s="225">
        <f>AA167</f>
        <v>0.4900000000000001</v>
      </c>
      <c r="AC168" s="137"/>
      <c r="AD168" s="137"/>
      <c r="BE168" s="144"/>
      <c r="BF168" s="144"/>
    </row>
    <row r="169" spans="2:58" ht="12">
      <c r="B169" s="36"/>
      <c r="C169" s="36"/>
      <c r="H169" s="36"/>
      <c r="S169" s="144">
        <v>32</v>
      </c>
      <c r="U169" s="240">
        <f>U168</f>
        <v>0.89</v>
      </c>
      <c r="V169" s="225">
        <f>V166</f>
        <v>1.11</v>
      </c>
      <c r="W169" s="244"/>
      <c r="X169" s="225"/>
      <c r="Y169" s="225"/>
      <c r="Z169" s="225">
        <f>Z168</f>
        <v>0.39</v>
      </c>
      <c r="AA169" s="225">
        <f>AA166</f>
        <v>0.5100000000000001</v>
      </c>
      <c r="AC169" s="137"/>
      <c r="AD169" s="137"/>
      <c r="BE169" s="144"/>
      <c r="BF169" s="144"/>
    </row>
    <row r="170" spans="2:58" ht="12">
      <c r="B170" s="36"/>
      <c r="C170" s="36"/>
      <c r="H170" s="36"/>
      <c r="U170" s="240">
        <f>U166</f>
        <v>0.91</v>
      </c>
      <c r="V170" s="225">
        <f>V166</f>
        <v>1.11</v>
      </c>
      <c r="W170" s="244"/>
      <c r="X170" s="225"/>
      <c r="Y170" s="225"/>
      <c r="Z170" s="261">
        <f>Z166</f>
        <v>0.41000000000000003</v>
      </c>
      <c r="AA170" s="261">
        <f>AA166</f>
        <v>0.5100000000000001</v>
      </c>
      <c r="AC170" s="137"/>
      <c r="AD170" s="137"/>
      <c r="BE170" s="144"/>
      <c r="BF170" s="144"/>
    </row>
    <row r="171" spans="2:58" ht="12">
      <c r="B171" s="36"/>
      <c r="C171" s="36"/>
      <c r="H171" s="36"/>
      <c r="U171" s="240"/>
      <c r="V171" s="225"/>
      <c r="W171" s="244"/>
      <c r="X171" s="225"/>
      <c r="Y171" s="225"/>
      <c r="Z171" s="240"/>
      <c r="AA171" s="244"/>
      <c r="AC171" s="137"/>
      <c r="AD171" s="137"/>
      <c r="BE171" s="144"/>
      <c r="BF171" s="144"/>
    </row>
    <row r="172" spans="2:58" ht="12">
      <c r="B172" s="36"/>
      <c r="C172" s="36"/>
      <c r="H172" s="36"/>
      <c r="S172" s="144">
        <v>33</v>
      </c>
      <c r="T172" s="137">
        <f>INDEX(coa,INT((S172-1)/4)+1,2)</f>
        <v>0.1</v>
      </c>
      <c r="U172" s="240">
        <f>IF(T174=0,0,T172+0.01)</f>
        <v>0.11</v>
      </c>
      <c r="V172" s="225">
        <f>IF(T174=0,0,T173+0.01)</f>
        <v>0.36</v>
      </c>
      <c r="W172" s="244"/>
      <c r="X172" s="225"/>
      <c r="Y172" s="225">
        <f>INDEX(coag,INT((S172-1)/4)+1,1)</f>
        <v>-0.4</v>
      </c>
      <c r="Z172" s="225">
        <f>IF(T174=0,0,Y172+0.01)</f>
        <v>-0.39</v>
      </c>
      <c r="AA172" s="225">
        <f>IF(T174=0,0,Y173+0.01)</f>
        <v>-0.24</v>
      </c>
      <c r="AC172" s="137"/>
      <c r="AD172" s="137"/>
      <c r="BE172" s="144"/>
      <c r="BF172" s="144"/>
    </row>
    <row r="173" spans="2:58" ht="12">
      <c r="B173" s="36"/>
      <c r="C173" s="36"/>
      <c r="H173" s="36"/>
      <c r="S173" s="144">
        <v>34</v>
      </c>
      <c r="T173" s="137">
        <f>INDEX(coa,INT((S172-1)/4)+1,3)</f>
        <v>0.35</v>
      </c>
      <c r="U173" s="240">
        <f>U172</f>
        <v>0.11</v>
      </c>
      <c r="V173" s="225">
        <f>IF(T174=0,0,T173-0.01)</f>
        <v>0.33999999999999997</v>
      </c>
      <c r="W173" s="244"/>
      <c r="X173" s="225"/>
      <c r="Y173" s="225">
        <f>INDEX(coag,INT((S172-1)/4)+1,2)</f>
        <v>-0.25</v>
      </c>
      <c r="Z173" s="225">
        <f>Z172</f>
        <v>-0.39</v>
      </c>
      <c r="AA173" s="225">
        <f>IF(T174=0,0,Y173-0.01)</f>
        <v>-0.26</v>
      </c>
      <c r="AC173" s="137"/>
      <c r="AD173" s="137"/>
      <c r="BE173" s="144"/>
      <c r="BF173" s="144"/>
    </row>
    <row r="174" spans="2:58" ht="12">
      <c r="B174" s="36"/>
      <c r="C174" s="36"/>
      <c r="H174" s="36"/>
      <c r="S174" s="144">
        <v>35</v>
      </c>
      <c r="T174" s="225">
        <f>INDEX(coa,INT((S172-1)/4)+1,1)/2000</f>
        <v>0.0125</v>
      </c>
      <c r="U174" s="240">
        <f>IF(T174=0,0,T172-0.01)</f>
        <v>0.09000000000000001</v>
      </c>
      <c r="V174" s="225">
        <f>V173</f>
        <v>0.33999999999999997</v>
      </c>
      <c r="W174" s="244"/>
      <c r="X174" s="225"/>
      <c r="Y174" s="225">
        <f>T174</f>
        <v>0.0125</v>
      </c>
      <c r="Z174" s="225">
        <f>IF(T174=0,0,Y172-0.01)</f>
        <v>-0.41000000000000003</v>
      </c>
      <c r="AA174" s="225">
        <f>AA173</f>
        <v>-0.26</v>
      </c>
      <c r="AC174" s="137"/>
      <c r="AD174" s="137"/>
      <c r="BE174" s="144"/>
      <c r="BF174" s="144"/>
    </row>
    <row r="175" spans="2:58" ht="12">
      <c r="B175" s="36"/>
      <c r="C175" s="36"/>
      <c r="H175" s="36"/>
      <c r="S175" s="144">
        <v>36</v>
      </c>
      <c r="U175" s="240">
        <f>U174</f>
        <v>0.09000000000000001</v>
      </c>
      <c r="V175" s="225">
        <f>V172</f>
        <v>0.36</v>
      </c>
      <c r="W175" s="244"/>
      <c r="X175" s="225"/>
      <c r="Y175" s="225"/>
      <c r="Z175" s="225">
        <f>Z174</f>
        <v>-0.41000000000000003</v>
      </c>
      <c r="AA175" s="225">
        <f>AA172</f>
        <v>-0.24</v>
      </c>
      <c r="AC175" s="137"/>
      <c r="AD175" s="137"/>
      <c r="BE175" s="144"/>
      <c r="BF175" s="144"/>
    </row>
    <row r="176" spans="2:58" ht="12">
      <c r="B176" s="36"/>
      <c r="C176" s="36"/>
      <c r="H176" s="36"/>
      <c r="U176" s="240">
        <f>U172</f>
        <v>0.11</v>
      </c>
      <c r="V176" s="225">
        <f>V172</f>
        <v>0.36</v>
      </c>
      <c r="W176" s="244"/>
      <c r="X176" s="225"/>
      <c r="Y176" s="225"/>
      <c r="Z176" s="261">
        <f>Z172</f>
        <v>-0.39</v>
      </c>
      <c r="AA176" s="261">
        <f>AA172</f>
        <v>-0.24</v>
      </c>
      <c r="AC176" s="137"/>
      <c r="AD176" s="137"/>
      <c r="BE176" s="144"/>
      <c r="BF176" s="144"/>
    </row>
    <row r="177" spans="2:58" ht="12">
      <c r="B177" s="36"/>
      <c r="C177" s="36"/>
      <c r="H177" s="36"/>
      <c r="U177" s="240"/>
      <c r="V177" s="225"/>
      <c r="W177" s="244"/>
      <c r="X177" s="225"/>
      <c r="Y177" s="225"/>
      <c r="Z177" s="240"/>
      <c r="AA177" s="244"/>
      <c r="AC177" s="137"/>
      <c r="AD177" s="137"/>
      <c r="BE177" s="144"/>
      <c r="BF177" s="144"/>
    </row>
    <row r="178" spans="2:58" ht="12">
      <c r="B178" s="36"/>
      <c r="C178" s="36"/>
      <c r="H178" s="36"/>
      <c r="S178" s="144">
        <v>37</v>
      </c>
      <c r="T178" s="137">
        <f>INDEX(coa,INT((S178-1)/4)+1,2)</f>
        <v>0.9</v>
      </c>
      <c r="U178" s="240">
        <f>IF(T180=0,0,T178+0.01)</f>
        <v>0.91</v>
      </c>
      <c r="V178" s="225">
        <f>IF(T180=0,0,T179+0.01)</f>
        <v>0.37</v>
      </c>
      <c r="W178" s="244"/>
      <c r="X178" s="225"/>
      <c r="Y178" s="225">
        <f>INDEX(coag,INT((S178-1)/4)+1,1)</f>
        <v>0.4</v>
      </c>
      <c r="Z178" s="225">
        <f>IF(T180=0,0,Y178+0.01)</f>
        <v>0.41000000000000003</v>
      </c>
      <c r="AA178" s="225">
        <f>IF(T180=0,0,Y179+0.01)</f>
        <v>-0.22999999999999998</v>
      </c>
      <c r="AC178" s="137"/>
      <c r="AD178" s="137"/>
      <c r="BE178" s="144"/>
      <c r="BF178" s="144"/>
    </row>
    <row r="179" spans="2:58" ht="12">
      <c r="B179" s="36"/>
      <c r="C179" s="36"/>
      <c r="H179" s="36"/>
      <c r="S179" s="144">
        <v>38</v>
      </c>
      <c r="T179" s="137">
        <f>INDEX(coa,INT((S178-1)/4)+1,3)</f>
        <v>0.36</v>
      </c>
      <c r="U179" s="240">
        <f>U178</f>
        <v>0.91</v>
      </c>
      <c r="V179" s="225">
        <f>IF(T180=0,0,T179-0.01)</f>
        <v>0.35</v>
      </c>
      <c r="W179" s="244"/>
      <c r="X179" s="225"/>
      <c r="Y179" s="225">
        <f>INDEX(coag,INT((S178-1)/4)+1,2)</f>
        <v>-0.24</v>
      </c>
      <c r="Z179" s="225">
        <f>Z178</f>
        <v>0.41000000000000003</v>
      </c>
      <c r="AA179" s="225">
        <f>IF(T180=0,0,Y179-0.01)</f>
        <v>-0.25</v>
      </c>
      <c r="AC179" s="137"/>
      <c r="AD179" s="137"/>
      <c r="BE179" s="144"/>
      <c r="BF179" s="144"/>
    </row>
    <row r="180" spans="2:58" ht="12">
      <c r="B180" s="36"/>
      <c r="C180" s="36"/>
      <c r="H180" s="36"/>
      <c r="S180" s="144">
        <v>39</v>
      </c>
      <c r="T180" s="225">
        <f>INDEX(coa,INT((S178-1)/4)+1,1)/2000</f>
        <v>0.0125</v>
      </c>
      <c r="U180" s="240">
        <f>IF(T180=0,0,T178-0.01)</f>
        <v>0.89</v>
      </c>
      <c r="V180" s="225">
        <f>V179</f>
        <v>0.35</v>
      </c>
      <c r="W180" s="244"/>
      <c r="X180" s="225"/>
      <c r="Y180" s="225">
        <f>T180</f>
        <v>0.0125</v>
      </c>
      <c r="Z180" s="225">
        <f>IF(T180=0,0,Y178-0.01)</f>
        <v>0.39</v>
      </c>
      <c r="AA180" s="225">
        <f>AA179</f>
        <v>-0.25</v>
      </c>
      <c r="AC180" s="137"/>
      <c r="AD180" s="137"/>
      <c r="BE180" s="144"/>
      <c r="BF180" s="144"/>
    </row>
    <row r="181" spans="2:58" ht="12">
      <c r="B181" s="36"/>
      <c r="C181" s="36"/>
      <c r="H181" s="36"/>
      <c r="S181" s="144">
        <v>40</v>
      </c>
      <c r="U181" s="240">
        <f>U180</f>
        <v>0.89</v>
      </c>
      <c r="V181" s="225">
        <f>V178</f>
        <v>0.37</v>
      </c>
      <c r="W181" s="244"/>
      <c r="X181" s="225"/>
      <c r="Y181" s="225"/>
      <c r="Z181" s="225">
        <f>Z180</f>
        <v>0.39</v>
      </c>
      <c r="AA181" s="225">
        <f>AA178</f>
        <v>-0.22999999999999998</v>
      </c>
      <c r="AC181" s="137"/>
      <c r="AD181" s="137"/>
      <c r="BE181" s="144"/>
      <c r="BF181" s="144"/>
    </row>
    <row r="182" spans="2:58" ht="12">
      <c r="B182" s="36"/>
      <c r="C182" s="36"/>
      <c r="H182" s="36"/>
      <c r="U182" s="240">
        <f>U178</f>
        <v>0.91</v>
      </c>
      <c r="V182" s="225">
        <f>V178</f>
        <v>0.37</v>
      </c>
      <c r="W182" s="244"/>
      <c r="X182" s="225"/>
      <c r="Y182" s="225"/>
      <c r="Z182" s="261">
        <f>Z178</f>
        <v>0.41000000000000003</v>
      </c>
      <c r="AA182" s="261">
        <f>AA178</f>
        <v>-0.22999999999999998</v>
      </c>
      <c r="AC182" s="137"/>
      <c r="AD182" s="137"/>
      <c r="BE182" s="144"/>
      <c r="BF182" s="144"/>
    </row>
    <row r="183" spans="2:58" ht="12">
      <c r="B183" s="36"/>
      <c r="C183" s="36"/>
      <c r="H183" s="36"/>
      <c r="U183" s="240"/>
      <c r="V183" s="225"/>
      <c r="W183" s="244"/>
      <c r="X183" s="225"/>
      <c r="Y183" s="225"/>
      <c r="Z183" s="240"/>
      <c r="AA183" s="244"/>
      <c r="AC183" s="137"/>
      <c r="AD183" s="137"/>
      <c r="BE183" s="144"/>
      <c r="BF183" s="144"/>
    </row>
    <row r="184" spans="2:58" ht="12">
      <c r="B184" s="36"/>
      <c r="C184" s="36"/>
      <c r="H184" s="36"/>
      <c r="S184" s="144">
        <v>41</v>
      </c>
      <c r="T184" s="137">
        <f>INDEX(coa,INT((S184-1)/4)+1,2)</f>
        <v>0.1</v>
      </c>
      <c r="U184" s="240">
        <f>IF(T186=0,0,T184+0.01)</f>
        <v>0.11</v>
      </c>
      <c r="V184" s="225">
        <f>IF(T186=0,0,T185+0.01)</f>
        <v>0.61</v>
      </c>
      <c r="W184" s="244"/>
      <c r="X184" s="225"/>
      <c r="Y184" s="225">
        <f>INDEX(coag,INT((S184-1)/4)+1,1)</f>
        <v>-0.4</v>
      </c>
      <c r="Z184" s="225">
        <f>IF(T186=0,0,Y184+0.01)</f>
        <v>-0.39</v>
      </c>
      <c r="AA184" s="225">
        <f>IF(T186=0,0,Y185+0.01)</f>
        <v>0.01</v>
      </c>
      <c r="AC184" s="137"/>
      <c r="AD184" s="137"/>
      <c r="BE184" s="144"/>
      <c r="BF184" s="144"/>
    </row>
    <row r="185" spans="2:58" ht="12">
      <c r="B185" s="36"/>
      <c r="C185" s="36"/>
      <c r="H185" s="36"/>
      <c r="S185" s="144">
        <v>42</v>
      </c>
      <c r="T185" s="137">
        <f>INDEX(coa,INT((S184-1)/4)+1,3)</f>
        <v>0.6</v>
      </c>
      <c r="U185" s="240">
        <f>U184</f>
        <v>0.11</v>
      </c>
      <c r="V185" s="225">
        <f>IF(T186=0,0,T185-0.01)</f>
        <v>0.59</v>
      </c>
      <c r="W185" s="244"/>
      <c r="X185" s="225"/>
      <c r="Y185" s="225">
        <f>INDEX(coag,INT((S184-1)/4)+1,2)</f>
        <v>0</v>
      </c>
      <c r="Z185" s="225">
        <f>Z184</f>
        <v>-0.39</v>
      </c>
      <c r="AA185" s="225">
        <f>IF(T186=0,0,Y185-0.01)</f>
        <v>-0.01</v>
      </c>
      <c r="AC185" s="137"/>
      <c r="AD185" s="137"/>
      <c r="BE185" s="144"/>
      <c r="BF185" s="144"/>
    </row>
    <row r="186" spans="2:58" ht="12">
      <c r="B186" s="36"/>
      <c r="C186" s="36"/>
      <c r="H186" s="36"/>
      <c r="S186" s="144">
        <v>43</v>
      </c>
      <c r="T186" s="225">
        <f>INDEX(coa,INT((S184-1)/4)+1,1)/2000</f>
        <v>0.0125</v>
      </c>
      <c r="U186" s="240">
        <f>IF(T186=0,0,T184-0.01)</f>
        <v>0.09000000000000001</v>
      </c>
      <c r="V186" s="225">
        <f>V185</f>
        <v>0.59</v>
      </c>
      <c r="W186" s="244"/>
      <c r="X186" s="225"/>
      <c r="Y186" s="225">
        <f>T186</f>
        <v>0.0125</v>
      </c>
      <c r="Z186" s="225">
        <f>IF(T186=0,0,Y184-0.01)</f>
        <v>-0.41000000000000003</v>
      </c>
      <c r="AA186" s="225">
        <f>AA185</f>
        <v>-0.01</v>
      </c>
      <c r="AC186" s="137"/>
      <c r="AD186" s="137"/>
      <c r="BE186" s="144"/>
      <c r="BF186" s="144"/>
    </row>
    <row r="187" spans="2:58" ht="12">
      <c r="B187" s="36"/>
      <c r="C187" s="36"/>
      <c r="H187" s="36"/>
      <c r="S187" s="144">
        <v>44</v>
      </c>
      <c r="U187" s="240">
        <f>U186</f>
        <v>0.09000000000000001</v>
      </c>
      <c r="V187" s="225">
        <f>V184</f>
        <v>0.61</v>
      </c>
      <c r="W187" s="244"/>
      <c r="X187" s="225"/>
      <c r="Y187" s="225"/>
      <c r="Z187" s="225">
        <f>Z186</f>
        <v>-0.41000000000000003</v>
      </c>
      <c r="AA187" s="225">
        <f>AA184</f>
        <v>0.01</v>
      </c>
      <c r="AC187" s="137"/>
      <c r="AD187" s="137"/>
      <c r="BE187" s="144"/>
      <c r="BF187" s="144"/>
    </row>
    <row r="188" spans="2:58" ht="12">
      <c r="B188" s="36"/>
      <c r="C188" s="36"/>
      <c r="H188" s="36"/>
      <c r="U188" s="240">
        <f>U184</f>
        <v>0.11</v>
      </c>
      <c r="V188" s="225">
        <f>V184</f>
        <v>0.61</v>
      </c>
      <c r="W188" s="244"/>
      <c r="X188" s="225"/>
      <c r="Y188" s="225"/>
      <c r="Z188" s="261">
        <f>Z184</f>
        <v>-0.39</v>
      </c>
      <c r="AA188" s="261">
        <f>AA184</f>
        <v>0.01</v>
      </c>
      <c r="AC188" s="137"/>
      <c r="AD188" s="137"/>
      <c r="BE188" s="144"/>
      <c r="BF188" s="144"/>
    </row>
    <row r="189" spans="2:58" ht="12">
      <c r="B189" s="36"/>
      <c r="C189" s="36"/>
      <c r="H189" s="36"/>
      <c r="U189" s="240"/>
      <c r="V189" s="225"/>
      <c r="W189" s="244"/>
      <c r="X189" s="225"/>
      <c r="Y189" s="225"/>
      <c r="Z189" s="240"/>
      <c r="AA189" s="244"/>
      <c r="AC189" s="137"/>
      <c r="AD189" s="137"/>
      <c r="BE189" s="144"/>
      <c r="BF189" s="144"/>
    </row>
    <row r="190" spans="2:58" ht="12">
      <c r="B190" s="36"/>
      <c r="C190" s="36"/>
      <c r="H190" s="36"/>
      <c r="S190" s="144">
        <v>45</v>
      </c>
      <c r="T190" s="137">
        <f>INDEX(coa,INT((S190-1)/4)+1,2)</f>
        <v>0.9</v>
      </c>
      <c r="U190" s="240">
        <f>IF(T192=0,0,T190+0.01)</f>
        <v>0.91</v>
      </c>
      <c r="V190" s="225">
        <f>IF(T192=0,0,T191+0.01)</f>
        <v>0.61</v>
      </c>
      <c r="W190" s="244"/>
      <c r="X190" s="225"/>
      <c r="Y190" s="225">
        <f>INDEX(coag,INT((S190-1)/4)+1,1)</f>
        <v>0.4</v>
      </c>
      <c r="Z190" s="225">
        <f>IF(T192=0,0,Y190+0.01)</f>
        <v>0.41000000000000003</v>
      </c>
      <c r="AA190" s="225">
        <f>IF(T192=0,0,Y191+0.01)</f>
        <v>0.01</v>
      </c>
      <c r="AC190" s="137"/>
      <c r="AD190" s="137"/>
      <c r="BE190" s="144"/>
      <c r="BF190" s="144"/>
    </row>
    <row r="191" spans="2:58" ht="12">
      <c r="B191" s="36"/>
      <c r="C191" s="36"/>
      <c r="H191" s="36"/>
      <c r="S191" s="144">
        <v>46</v>
      </c>
      <c r="T191" s="137">
        <f>INDEX(coa,INT((S190-1)/4)+1,3)</f>
        <v>0.6</v>
      </c>
      <c r="U191" s="240">
        <f>U190</f>
        <v>0.91</v>
      </c>
      <c r="V191" s="225">
        <f>IF(T192=0,0,T191-0.01)</f>
        <v>0.59</v>
      </c>
      <c r="W191" s="244"/>
      <c r="X191" s="225"/>
      <c r="Y191" s="225">
        <f>INDEX(coag,INT((S190-1)/4)+1,2)</f>
        <v>0</v>
      </c>
      <c r="Z191" s="225">
        <f>Z190</f>
        <v>0.41000000000000003</v>
      </c>
      <c r="AA191" s="225">
        <f>IF(T192=0,0,Y191-0.01)</f>
        <v>-0.01</v>
      </c>
      <c r="AC191" s="137"/>
      <c r="AD191" s="137"/>
      <c r="BE191" s="144"/>
      <c r="BF191" s="144"/>
    </row>
    <row r="192" spans="2:58" ht="12">
      <c r="B192" s="36"/>
      <c r="C192" s="36"/>
      <c r="H192" s="36"/>
      <c r="S192" s="144">
        <v>47</v>
      </c>
      <c r="T192" s="225">
        <f>INDEX(coa,INT((S190-1)/4)+1,1)/2000</f>
        <v>0.0125</v>
      </c>
      <c r="U192" s="240">
        <f>IF(T192=0,0,T190-0.01)</f>
        <v>0.89</v>
      </c>
      <c r="V192" s="225">
        <f>V191</f>
        <v>0.59</v>
      </c>
      <c r="W192" s="244"/>
      <c r="X192" s="225"/>
      <c r="Y192" s="225">
        <f>T192</f>
        <v>0.0125</v>
      </c>
      <c r="Z192" s="225">
        <f>IF(T192=0,0,Y190-0.01)</f>
        <v>0.39</v>
      </c>
      <c r="AA192" s="225">
        <f>AA191</f>
        <v>-0.01</v>
      </c>
      <c r="AC192" s="137"/>
      <c r="AD192" s="137"/>
      <c r="BE192" s="144"/>
      <c r="BF192" s="144"/>
    </row>
    <row r="193" spans="2:58" ht="12">
      <c r="B193" s="36"/>
      <c r="C193" s="36"/>
      <c r="H193" s="36"/>
      <c r="S193" s="144">
        <v>48</v>
      </c>
      <c r="U193" s="240">
        <f>U192</f>
        <v>0.89</v>
      </c>
      <c r="V193" s="225">
        <f>V190</f>
        <v>0.61</v>
      </c>
      <c r="W193" s="244"/>
      <c r="X193" s="225"/>
      <c r="Y193" s="225"/>
      <c r="Z193" s="225">
        <f>Z192</f>
        <v>0.39</v>
      </c>
      <c r="AA193" s="225">
        <f>AA190</f>
        <v>0.01</v>
      </c>
      <c r="AC193" s="137"/>
      <c r="AD193" s="137"/>
      <c r="BE193" s="144"/>
      <c r="BF193" s="144"/>
    </row>
    <row r="194" spans="2:58" ht="12">
      <c r="B194" s="36"/>
      <c r="C194" s="36"/>
      <c r="H194" s="36"/>
      <c r="U194" s="240">
        <f>U190</f>
        <v>0.91</v>
      </c>
      <c r="V194" s="225">
        <f>V190</f>
        <v>0.61</v>
      </c>
      <c r="W194" s="244"/>
      <c r="X194" s="225"/>
      <c r="Y194" s="225"/>
      <c r="Z194" s="261">
        <f>Z190</f>
        <v>0.41000000000000003</v>
      </c>
      <c r="AA194" s="261">
        <f>AA190</f>
        <v>0.01</v>
      </c>
      <c r="AC194" s="137"/>
      <c r="AD194" s="137"/>
      <c r="BE194" s="144"/>
      <c r="BF194" s="144"/>
    </row>
    <row r="195" spans="2:58" ht="12">
      <c r="B195" s="36"/>
      <c r="C195" s="36"/>
      <c r="H195" s="36"/>
      <c r="U195" s="240"/>
      <c r="V195" s="225"/>
      <c r="W195" s="244"/>
      <c r="X195" s="225"/>
      <c r="Y195" s="225"/>
      <c r="Z195" s="240"/>
      <c r="AA195" s="244"/>
      <c r="AC195" s="137"/>
      <c r="AD195" s="137"/>
      <c r="BE195" s="144"/>
      <c r="BF195" s="144"/>
    </row>
    <row r="196" spans="2:58" ht="12">
      <c r="B196" s="36"/>
      <c r="C196" s="36"/>
      <c r="H196" s="36"/>
      <c r="S196" s="144">
        <v>49</v>
      </c>
      <c r="T196" s="137">
        <f>INDEX(coa,INT((S196-1)/4)+1,2)</f>
        <v>0.1</v>
      </c>
      <c r="U196" s="240">
        <f>IF(T198=0,0,T196+0.01)</f>
        <v>0.11</v>
      </c>
      <c r="V196" s="225">
        <f>IF(T198=0,0,T197+0.01)</f>
        <v>0.86</v>
      </c>
      <c r="W196" s="244"/>
      <c r="X196" s="225"/>
      <c r="Y196" s="225">
        <f>INDEX(coag,INT((S196-1)/4)+1,1)</f>
        <v>-0.4</v>
      </c>
      <c r="Z196" s="225">
        <f>IF(T198=0,0,Y196+0.01)</f>
        <v>-0.39</v>
      </c>
      <c r="AA196" s="225">
        <f>IF(T198=0,0,Y197+0.01)</f>
        <v>0.26</v>
      </c>
      <c r="AC196" s="137"/>
      <c r="AD196" s="137"/>
      <c r="BE196" s="144"/>
      <c r="BF196" s="144"/>
    </row>
    <row r="197" spans="2:58" ht="12">
      <c r="B197" s="36"/>
      <c r="C197" s="36"/>
      <c r="H197" s="36"/>
      <c r="S197" s="144">
        <v>50</v>
      </c>
      <c r="T197" s="137">
        <f>INDEX(coa,INT((S196-1)/4)+1,3)</f>
        <v>0.85</v>
      </c>
      <c r="U197" s="240">
        <f>U196</f>
        <v>0.11</v>
      </c>
      <c r="V197" s="225">
        <f>IF(T198=0,0,T197-0.01)</f>
        <v>0.84</v>
      </c>
      <c r="W197" s="244"/>
      <c r="X197" s="225"/>
      <c r="Y197" s="225">
        <f>INDEX(coag,INT((S196-1)/4)+1,2)</f>
        <v>0.25</v>
      </c>
      <c r="Z197" s="225">
        <f>Z196</f>
        <v>-0.39</v>
      </c>
      <c r="AA197" s="225">
        <f>IF(T198=0,0,Y197-0.01)</f>
        <v>0.24</v>
      </c>
      <c r="AC197" s="137"/>
      <c r="AD197" s="137"/>
      <c r="BE197" s="144"/>
      <c r="BF197" s="144"/>
    </row>
    <row r="198" spans="2:58" ht="12">
      <c r="B198" s="36"/>
      <c r="C198" s="36"/>
      <c r="H198" s="36"/>
      <c r="S198" s="144">
        <v>51</v>
      </c>
      <c r="T198" s="225">
        <f>INDEX(coa,INT((S196-1)/4)+1,1)/2000</f>
        <v>0.0125</v>
      </c>
      <c r="U198" s="240">
        <f>IF(T198=0,0,T196-0.01)</f>
        <v>0.09000000000000001</v>
      </c>
      <c r="V198" s="225">
        <f>V197</f>
        <v>0.84</v>
      </c>
      <c r="W198" s="244"/>
      <c r="X198" s="225"/>
      <c r="Y198" s="225">
        <f>T198</f>
        <v>0.0125</v>
      </c>
      <c r="Z198" s="225">
        <f>IF(T198=0,0,Y196-0.01)</f>
        <v>-0.41000000000000003</v>
      </c>
      <c r="AA198" s="225">
        <f>AA197</f>
        <v>0.24</v>
      </c>
      <c r="AC198" s="137"/>
      <c r="AD198" s="137"/>
      <c r="BE198" s="144"/>
      <c r="BF198" s="144"/>
    </row>
    <row r="199" spans="2:58" ht="12">
      <c r="B199" s="36"/>
      <c r="C199" s="36"/>
      <c r="H199" s="36"/>
      <c r="S199" s="144">
        <v>52</v>
      </c>
      <c r="U199" s="240">
        <f>U198</f>
        <v>0.09000000000000001</v>
      </c>
      <c r="V199" s="225">
        <f>V196</f>
        <v>0.86</v>
      </c>
      <c r="W199" s="244"/>
      <c r="X199" s="225"/>
      <c r="Y199" s="225"/>
      <c r="Z199" s="225">
        <f>Z198</f>
        <v>-0.41000000000000003</v>
      </c>
      <c r="AA199" s="225">
        <f>AA196</f>
        <v>0.26</v>
      </c>
      <c r="AC199" s="137"/>
      <c r="AD199" s="137"/>
      <c r="BE199" s="144"/>
      <c r="BF199" s="144"/>
    </row>
    <row r="200" spans="2:58" ht="12">
      <c r="B200" s="36"/>
      <c r="C200" s="36"/>
      <c r="H200" s="36"/>
      <c r="U200" s="240">
        <f>U196</f>
        <v>0.11</v>
      </c>
      <c r="V200" s="225">
        <f>V196</f>
        <v>0.86</v>
      </c>
      <c r="W200" s="244"/>
      <c r="X200" s="225"/>
      <c r="Y200" s="225"/>
      <c r="Z200" s="261">
        <f>Z196</f>
        <v>-0.39</v>
      </c>
      <c r="AA200" s="261">
        <f>AA196</f>
        <v>0.26</v>
      </c>
      <c r="AC200" s="137"/>
      <c r="AD200" s="137"/>
      <c r="BE200" s="144"/>
      <c r="BF200" s="144"/>
    </row>
    <row r="201" spans="2:58" ht="12">
      <c r="B201" s="36"/>
      <c r="C201" s="36"/>
      <c r="H201" s="36"/>
      <c r="U201" s="240"/>
      <c r="V201" s="225"/>
      <c r="W201" s="244"/>
      <c r="X201" s="225"/>
      <c r="Y201" s="225"/>
      <c r="Z201" s="240"/>
      <c r="AA201" s="244"/>
      <c r="AC201" s="137"/>
      <c r="AD201" s="137"/>
      <c r="BE201" s="144"/>
      <c r="BF201" s="144"/>
    </row>
    <row r="202" spans="2:58" ht="12">
      <c r="B202" s="36"/>
      <c r="C202" s="36"/>
      <c r="H202" s="36"/>
      <c r="S202" s="144">
        <v>53</v>
      </c>
      <c r="T202" s="137">
        <f>INDEX(coa,INT((S202-1)/4)+1,2)</f>
        <v>0.9</v>
      </c>
      <c r="U202" s="240">
        <f>IF(T204=0,0,T202+0.01)</f>
        <v>0.91</v>
      </c>
      <c r="V202" s="225">
        <f>IF(T204=0,0,T203+0.01)</f>
        <v>0.86</v>
      </c>
      <c r="W202" s="244"/>
      <c r="X202" s="225"/>
      <c r="Y202" s="225">
        <f>INDEX(coag,INT((S202-1)/4)+1,1)</f>
        <v>0.4</v>
      </c>
      <c r="Z202" s="225">
        <f>IF(T204=0,0,Y202+0.01)</f>
        <v>0.41000000000000003</v>
      </c>
      <c r="AA202" s="225">
        <f>IF(T204=0,0,Y203+0.01)</f>
        <v>0.26</v>
      </c>
      <c r="AC202" s="137"/>
      <c r="AD202" s="137"/>
      <c r="BE202" s="144"/>
      <c r="BF202" s="144"/>
    </row>
    <row r="203" spans="2:58" ht="12">
      <c r="B203" s="36"/>
      <c r="C203" s="36"/>
      <c r="H203" s="36"/>
      <c r="S203" s="144">
        <v>54</v>
      </c>
      <c r="T203" s="137">
        <f>INDEX(coa,INT((S202-1)/4)+1,3)</f>
        <v>0.85</v>
      </c>
      <c r="U203" s="240">
        <f>U202</f>
        <v>0.91</v>
      </c>
      <c r="V203" s="225">
        <f>IF(T204=0,0,T203-0.01)</f>
        <v>0.84</v>
      </c>
      <c r="W203" s="244"/>
      <c r="X203" s="225"/>
      <c r="Y203" s="225">
        <f>INDEX(coag,INT((S202-1)/4)+1,2)</f>
        <v>0.25</v>
      </c>
      <c r="Z203" s="225">
        <f>Z202</f>
        <v>0.41000000000000003</v>
      </c>
      <c r="AA203" s="225">
        <f>IF(T204=0,0,Y203-0.01)</f>
        <v>0.24</v>
      </c>
      <c r="AC203" s="137"/>
      <c r="AD203" s="137"/>
      <c r="BE203" s="144"/>
      <c r="BF203" s="144"/>
    </row>
    <row r="204" spans="2:58" ht="12">
      <c r="B204" s="36"/>
      <c r="C204" s="36"/>
      <c r="H204" s="36"/>
      <c r="S204" s="144">
        <v>55</v>
      </c>
      <c r="T204" s="225">
        <f>INDEX(coa,INT((S202-1)/4)+1,1)/2000</f>
        <v>0.0125</v>
      </c>
      <c r="U204" s="240">
        <f>IF(T204=0,0,T202-0.01)</f>
        <v>0.89</v>
      </c>
      <c r="V204" s="225">
        <f>V203</f>
        <v>0.84</v>
      </c>
      <c r="W204" s="244"/>
      <c r="X204" s="225"/>
      <c r="Y204" s="225">
        <f>T204</f>
        <v>0.0125</v>
      </c>
      <c r="Z204" s="225">
        <f>IF(T204=0,0,Y202-0.01)</f>
        <v>0.39</v>
      </c>
      <c r="AA204" s="225">
        <f>AA203</f>
        <v>0.24</v>
      </c>
      <c r="AC204" s="137"/>
      <c r="AD204" s="137"/>
      <c r="BE204" s="144"/>
      <c r="BF204" s="144"/>
    </row>
    <row r="205" spans="2:58" ht="12">
      <c r="B205" s="36"/>
      <c r="C205" s="36"/>
      <c r="H205" s="36"/>
      <c r="S205" s="144">
        <v>56</v>
      </c>
      <c r="U205" s="240">
        <f>U204</f>
        <v>0.89</v>
      </c>
      <c r="V205" s="225">
        <f>V202</f>
        <v>0.86</v>
      </c>
      <c r="W205" s="244"/>
      <c r="X205" s="225"/>
      <c r="Y205" s="225"/>
      <c r="Z205" s="225">
        <f>Z204</f>
        <v>0.39</v>
      </c>
      <c r="AA205" s="225">
        <f>AA202</f>
        <v>0.26</v>
      </c>
      <c r="AC205" s="137"/>
      <c r="AD205" s="137"/>
      <c r="BE205" s="144"/>
      <c r="BF205" s="144"/>
    </row>
    <row r="206" spans="2:58" ht="12">
      <c r="B206" s="36"/>
      <c r="C206" s="36"/>
      <c r="H206" s="36"/>
      <c r="U206" s="240">
        <f>U202</f>
        <v>0.91</v>
      </c>
      <c r="V206" s="225">
        <f>V202</f>
        <v>0.86</v>
      </c>
      <c r="W206" s="244"/>
      <c r="X206" s="225"/>
      <c r="Y206" s="225"/>
      <c r="Z206" s="261">
        <f>Z202</f>
        <v>0.41000000000000003</v>
      </c>
      <c r="AA206" s="261">
        <f>AA202</f>
        <v>0.26</v>
      </c>
      <c r="AC206" s="137"/>
      <c r="AD206" s="137"/>
      <c r="BE206" s="144"/>
      <c r="BF206" s="144"/>
    </row>
    <row r="207" spans="2:58" ht="12">
      <c r="B207" s="36"/>
      <c r="C207" s="36"/>
      <c r="H207" s="36"/>
      <c r="U207" s="240"/>
      <c r="V207" s="225"/>
      <c r="W207" s="244"/>
      <c r="X207" s="225"/>
      <c r="Y207" s="225"/>
      <c r="Z207" s="240"/>
      <c r="AA207" s="244"/>
      <c r="AC207" s="137"/>
      <c r="AD207" s="137"/>
      <c r="BE207" s="144"/>
      <c r="BF207" s="144"/>
    </row>
    <row r="208" spans="2:58" ht="12">
      <c r="B208" s="36"/>
      <c r="C208" s="36"/>
      <c r="H208" s="36"/>
      <c r="S208" s="144">
        <v>57</v>
      </c>
      <c r="T208" s="137">
        <f>INDEX(coa,INT((S208-1)/4)+1,2)</f>
        <v>0</v>
      </c>
      <c r="U208" s="240">
        <f>IF(T210=0,0,T208+0.01)</f>
        <v>0</v>
      </c>
      <c r="V208" s="225">
        <f>IF(T210=0,0,T209+0.01)</f>
        <v>0</v>
      </c>
      <c r="W208" s="244"/>
      <c r="X208" s="225"/>
      <c r="Y208" s="225">
        <f>INDEX(coag,INT((S208-1)/4)+1,1)</f>
        <v>0</v>
      </c>
      <c r="Z208" s="225">
        <f>IF(T210=0,0,Y208+0.01)</f>
        <v>0</v>
      </c>
      <c r="AA208" s="225">
        <f>IF(T210=0,0,Y209+0.01)</f>
        <v>0</v>
      </c>
      <c r="AC208" s="137"/>
      <c r="AD208" s="137"/>
      <c r="BE208" s="144"/>
      <c r="BF208" s="144"/>
    </row>
    <row r="209" spans="2:58" ht="12">
      <c r="B209" s="36"/>
      <c r="C209" s="36"/>
      <c r="H209" s="36"/>
      <c r="S209" s="144">
        <v>58</v>
      </c>
      <c r="T209" s="137">
        <f>INDEX(coa,INT((S208-1)/4)+1,3)</f>
        <v>0</v>
      </c>
      <c r="U209" s="240">
        <f>U208</f>
        <v>0</v>
      </c>
      <c r="V209" s="225">
        <f>IF(T210=0,0,T209-0.01)</f>
        <v>0</v>
      </c>
      <c r="W209" s="244"/>
      <c r="X209" s="225"/>
      <c r="Y209" s="225">
        <f>INDEX(coag,INT((S208-1)/4)+1,2)</f>
        <v>0</v>
      </c>
      <c r="Z209" s="225">
        <f>Z208</f>
        <v>0</v>
      </c>
      <c r="AA209" s="225">
        <f>IF(T210=0,0,Y209-0.01)</f>
        <v>0</v>
      </c>
      <c r="AC209" s="137"/>
      <c r="AD209" s="137"/>
      <c r="BE209" s="144"/>
      <c r="BF209" s="144"/>
    </row>
    <row r="210" spans="2:58" ht="12">
      <c r="B210" s="36"/>
      <c r="C210" s="36"/>
      <c r="H210" s="36"/>
      <c r="S210" s="144">
        <v>59</v>
      </c>
      <c r="T210" s="225">
        <f>INDEX(coa,INT((S208-1)/4)+1,1)/2000</f>
        <v>0</v>
      </c>
      <c r="U210" s="240">
        <f>IF(T210=0,0,T208-0.01)</f>
        <v>0</v>
      </c>
      <c r="V210" s="225">
        <f>V209</f>
        <v>0</v>
      </c>
      <c r="W210" s="244"/>
      <c r="X210" s="225"/>
      <c r="Y210" s="225">
        <f>T210</f>
        <v>0</v>
      </c>
      <c r="Z210" s="225">
        <f>IF(T210=0,0,Y208-0.01)</f>
        <v>0</v>
      </c>
      <c r="AA210" s="225">
        <f>AA209</f>
        <v>0</v>
      </c>
      <c r="AC210" s="137"/>
      <c r="AD210" s="137"/>
      <c r="BE210" s="144"/>
      <c r="BF210" s="144"/>
    </row>
    <row r="211" spans="2:58" ht="12">
      <c r="B211" s="36"/>
      <c r="C211" s="36"/>
      <c r="H211" s="36"/>
      <c r="S211" s="144">
        <v>60</v>
      </c>
      <c r="U211" s="240">
        <f>U210</f>
        <v>0</v>
      </c>
      <c r="V211" s="225">
        <f>V208</f>
        <v>0</v>
      </c>
      <c r="W211" s="244"/>
      <c r="X211" s="225"/>
      <c r="Y211" s="225"/>
      <c r="Z211" s="225">
        <f>Z210</f>
        <v>0</v>
      </c>
      <c r="AA211" s="225">
        <f>AA208</f>
        <v>0</v>
      </c>
      <c r="AC211" s="137"/>
      <c r="AD211" s="137"/>
      <c r="BE211" s="144"/>
      <c r="BF211" s="144"/>
    </row>
    <row r="212" spans="2:58" ht="12">
      <c r="B212" s="36"/>
      <c r="C212" s="36"/>
      <c r="H212" s="36"/>
      <c r="U212" s="240">
        <f>U208</f>
        <v>0</v>
      </c>
      <c r="V212" s="225">
        <f>V208</f>
        <v>0</v>
      </c>
      <c r="W212" s="244"/>
      <c r="X212" s="225"/>
      <c r="Y212" s="225"/>
      <c r="Z212" s="261">
        <f>Z208</f>
        <v>0</v>
      </c>
      <c r="AA212" s="261">
        <f>AA208</f>
        <v>0</v>
      </c>
      <c r="AC212" s="137"/>
      <c r="AD212" s="137"/>
      <c r="BE212" s="144"/>
      <c r="BF212" s="144"/>
    </row>
    <row r="213" spans="2:58" ht="12">
      <c r="B213" s="36"/>
      <c r="C213" s="36"/>
      <c r="H213" s="36"/>
      <c r="U213" s="240"/>
      <c r="V213" s="225"/>
      <c r="W213" s="244"/>
      <c r="X213" s="225"/>
      <c r="Y213" s="225"/>
      <c r="Z213" s="240"/>
      <c r="AA213" s="244"/>
      <c r="AC213" s="137"/>
      <c r="AD213" s="137"/>
      <c r="BE213" s="144"/>
      <c r="BF213" s="144"/>
    </row>
    <row r="214" spans="2:58" ht="12">
      <c r="B214" s="36"/>
      <c r="C214" s="36"/>
      <c r="H214" s="36"/>
      <c r="S214" s="144">
        <v>61</v>
      </c>
      <c r="T214" s="137">
        <f>INDEX(coa,INT((S214-1)/4)+1,2)</f>
        <v>0</v>
      </c>
      <c r="U214" s="240">
        <f>IF(T216=0,0,T214+0.01)</f>
        <v>0</v>
      </c>
      <c r="V214" s="225">
        <f>IF(T216=0,0,T215+0.01)</f>
        <v>0</v>
      </c>
      <c r="W214" s="244"/>
      <c r="X214" s="225"/>
      <c r="Y214" s="225">
        <f>INDEX(coag,INT((S214-1)/4)+1,1)</f>
        <v>0</v>
      </c>
      <c r="Z214" s="225">
        <f>IF(T216=0,0,Y214+0.01)</f>
        <v>0</v>
      </c>
      <c r="AA214" s="225">
        <f>IF(T216=0,0,Y215+0.01)</f>
        <v>0</v>
      </c>
      <c r="AC214" s="137"/>
      <c r="AD214" s="137"/>
      <c r="BE214" s="144"/>
      <c r="BF214" s="144"/>
    </row>
    <row r="215" spans="2:58" ht="12">
      <c r="B215" s="36"/>
      <c r="C215" s="36"/>
      <c r="H215" s="36"/>
      <c r="S215" s="144">
        <v>62</v>
      </c>
      <c r="T215" s="137">
        <f>INDEX(coa,INT((S214-1)/4)+1,3)</f>
        <v>0</v>
      </c>
      <c r="U215" s="240">
        <f>U214</f>
        <v>0</v>
      </c>
      <c r="V215" s="225">
        <f>IF(T216=0,0,T215-0.01)</f>
        <v>0</v>
      </c>
      <c r="W215" s="244"/>
      <c r="X215" s="225"/>
      <c r="Y215" s="225">
        <f>INDEX(coag,INT((S214-1)/4)+1,2)</f>
        <v>0</v>
      </c>
      <c r="Z215" s="225">
        <f>Z214</f>
        <v>0</v>
      </c>
      <c r="AA215" s="225">
        <f>IF(T216=0,0,Y215-0.01)</f>
        <v>0</v>
      </c>
      <c r="AC215" s="137"/>
      <c r="AD215" s="137"/>
      <c r="BE215" s="144"/>
      <c r="BF215" s="144"/>
    </row>
    <row r="216" spans="2:58" ht="12">
      <c r="B216" s="36"/>
      <c r="C216" s="36"/>
      <c r="H216" s="36"/>
      <c r="S216" s="144">
        <v>63</v>
      </c>
      <c r="T216" s="225">
        <f>INDEX(coa,INT((S214-1)/4)+1,1)/2000</f>
        <v>0</v>
      </c>
      <c r="U216" s="240">
        <f>IF(T216=0,0,T214-0.01)</f>
        <v>0</v>
      </c>
      <c r="V216" s="225">
        <f>V215</f>
        <v>0</v>
      </c>
      <c r="W216" s="244"/>
      <c r="X216" s="225"/>
      <c r="Y216" s="225">
        <f>T216</f>
        <v>0</v>
      </c>
      <c r="Z216" s="225">
        <f>IF(T216=0,0,Y214-0.01)</f>
        <v>0</v>
      </c>
      <c r="AA216" s="225">
        <f>AA215</f>
        <v>0</v>
      </c>
      <c r="AC216" s="137"/>
      <c r="AD216" s="137"/>
      <c r="BE216" s="144"/>
      <c r="BF216" s="144"/>
    </row>
    <row r="217" spans="2:58" ht="12">
      <c r="B217" s="36"/>
      <c r="C217" s="36"/>
      <c r="H217" s="36"/>
      <c r="S217" s="144">
        <v>64</v>
      </c>
      <c r="U217" s="240">
        <f>U216</f>
        <v>0</v>
      </c>
      <c r="V217" s="225">
        <f>V214</f>
        <v>0</v>
      </c>
      <c r="W217" s="244"/>
      <c r="X217" s="225"/>
      <c r="Y217" s="225"/>
      <c r="Z217" s="225">
        <f>Z216</f>
        <v>0</v>
      </c>
      <c r="AA217" s="225">
        <f>AA214</f>
        <v>0</v>
      </c>
      <c r="AC217" s="137"/>
      <c r="AD217" s="137"/>
      <c r="BE217" s="144"/>
      <c r="BF217" s="144"/>
    </row>
    <row r="218" spans="2:58" ht="12">
      <c r="B218" s="36"/>
      <c r="C218" s="36"/>
      <c r="H218" s="36"/>
      <c r="U218" s="240">
        <f>U214</f>
        <v>0</v>
      </c>
      <c r="V218" s="225">
        <f>V214</f>
        <v>0</v>
      </c>
      <c r="W218" s="244"/>
      <c r="X218" s="225"/>
      <c r="Y218" s="225"/>
      <c r="Z218" s="261">
        <f>Z214</f>
        <v>0</v>
      </c>
      <c r="AA218" s="261">
        <f>AA214</f>
        <v>0</v>
      </c>
      <c r="AC218" s="137"/>
      <c r="AD218" s="137"/>
      <c r="BE218" s="144"/>
      <c r="BF218" s="144"/>
    </row>
    <row r="219" spans="2:58" ht="12">
      <c r="B219" s="36"/>
      <c r="C219" s="36"/>
      <c r="H219" s="36"/>
      <c r="U219" s="240"/>
      <c r="V219" s="225"/>
      <c r="W219" s="244"/>
      <c r="X219" s="225"/>
      <c r="Y219" s="225"/>
      <c r="Z219" s="240"/>
      <c r="AA219" s="244"/>
      <c r="AC219" s="137"/>
      <c r="AD219" s="137"/>
      <c r="BE219" s="144"/>
      <c r="BF219" s="144"/>
    </row>
    <row r="220" spans="2:58" ht="12">
      <c r="B220" s="36"/>
      <c r="C220" s="36"/>
      <c r="H220" s="36"/>
      <c r="S220" s="144">
        <v>65</v>
      </c>
      <c r="T220" s="137">
        <f>INDEX(coa,INT((S220-1)/4)+1,2)</f>
        <v>0</v>
      </c>
      <c r="U220" s="240">
        <f>IF(T222=0,0,T220+0.01)</f>
        <v>0</v>
      </c>
      <c r="V220" s="225">
        <f>IF(T222=0,0,T221+0.01)</f>
        <v>0</v>
      </c>
      <c r="W220" s="244"/>
      <c r="X220" s="225"/>
      <c r="Y220" s="225">
        <f>INDEX(coag,INT((S220-1)/4)+1,1)</f>
        <v>0</v>
      </c>
      <c r="Z220" s="225">
        <f>IF(T222=0,0,Y220+0.01)</f>
        <v>0</v>
      </c>
      <c r="AA220" s="225">
        <f>IF(T222=0,0,Y221+0.01)</f>
        <v>0</v>
      </c>
      <c r="AC220" s="137"/>
      <c r="AD220" s="137"/>
      <c r="BE220" s="144"/>
      <c r="BF220" s="144"/>
    </row>
    <row r="221" spans="2:58" ht="12">
      <c r="B221" s="36"/>
      <c r="C221" s="36"/>
      <c r="H221" s="36"/>
      <c r="S221" s="144">
        <v>66</v>
      </c>
      <c r="T221" s="137">
        <f>INDEX(coa,INT((S220-1)/4)+1,3)</f>
        <v>0</v>
      </c>
      <c r="U221" s="240">
        <f>U220</f>
        <v>0</v>
      </c>
      <c r="V221" s="225">
        <f>IF(T222=0,0,T221-0.01)</f>
        <v>0</v>
      </c>
      <c r="W221" s="244"/>
      <c r="X221" s="225"/>
      <c r="Y221" s="225">
        <f>INDEX(coag,INT((S220-1)/4)+1,2)</f>
        <v>0</v>
      </c>
      <c r="Z221" s="225">
        <f>Z220</f>
        <v>0</v>
      </c>
      <c r="AA221" s="225">
        <f>IF(T222=0,0,Y221-0.01)</f>
        <v>0</v>
      </c>
      <c r="AC221" s="137"/>
      <c r="AD221" s="137"/>
      <c r="BE221" s="144"/>
      <c r="BF221" s="144"/>
    </row>
    <row r="222" spans="2:58" ht="12">
      <c r="B222" s="36"/>
      <c r="C222" s="36"/>
      <c r="H222" s="36"/>
      <c r="S222" s="144">
        <v>67</v>
      </c>
      <c r="T222" s="225">
        <f>INDEX(coa,INT((S220-1)/4)+1,1)/2000</f>
        <v>0</v>
      </c>
      <c r="U222" s="240">
        <f>IF(T222=0,0,T220-0.01)</f>
        <v>0</v>
      </c>
      <c r="V222" s="225">
        <f>V221</f>
        <v>0</v>
      </c>
      <c r="W222" s="244"/>
      <c r="X222" s="225"/>
      <c r="Y222" s="225">
        <f>T222</f>
        <v>0</v>
      </c>
      <c r="Z222" s="225">
        <f>IF(T222=0,0,Y220-0.01)</f>
        <v>0</v>
      </c>
      <c r="AA222" s="225">
        <f>AA221</f>
        <v>0</v>
      </c>
      <c r="AC222" s="137"/>
      <c r="AD222" s="137"/>
      <c r="BE222" s="144"/>
      <c r="BF222" s="144"/>
    </row>
    <row r="223" spans="2:58" ht="12">
      <c r="B223" s="36"/>
      <c r="C223" s="36"/>
      <c r="H223" s="36"/>
      <c r="S223" s="144">
        <v>68</v>
      </c>
      <c r="U223" s="240">
        <f>U222</f>
        <v>0</v>
      </c>
      <c r="V223" s="225">
        <f>V220</f>
        <v>0</v>
      </c>
      <c r="W223" s="244"/>
      <c r="X223" s="225"/>
      <c r="Y223" s="225"/>
      <c r="Z223" s="225">
        <f>Z222</f>
        <v>0</v>
      </c>
      <c r="AA223" s="225">
        <f>AA220</f>
        <v>0</v>
      </c>
      <c r="AC223" s="137"/>
      <c r="AD223" s="137"/>
      <c r="BE223" s="144"/>
      <c r="BF223" s="144"/>
    </row>
    <row r="224" spans="2:58" ht="12">
      <c r="B224" s="36"/>
      <c r="C224" s="36"/>
      <c r="H224" s="36"/>
      <c r="U224" s="240">
        <f>U220</f>
        <v>0</v>
      </c>
      <c r="V224" s="225">
        <f>V220</f>
        <v>0</v>
      </c>
      <c r="W224" s="244"/>
      <c r="X224" s="225"/>
      <c r="Y224" s="225"/>
      <c r="Z224" s="261">
        <f>Z220</f>
        <v>0</v>
      </c>
      <c r="AA224" s="261">
        <f>AA220</f>
        <v>0</v>
      </c>
      <c r="AC224" s="137"/>
      <c r="AD224" s="137"/>
      <c r="BE224" s="144"/>
      <c r="BF224" s="144"/>
    </row>
    <row r="225" spans="2:58" ht="12">
      <c r="B225" s="36"/>
      <c r="C225" s="36"/>
      <c r="H225" s="36"/>
      <c r="U225" s="240"/>
      <c r="V225" s="225"/>
      <c r="W225" s="244"/>
      <c r="X225" s="225"/>
      <c r="Y225" s="225"/>
      <c r="Z225" s="240"/>
      <c r="AA225" s="244"/>
      <c r="AC225" s="137"/>
      <c r="AD225" s="137"/>
      <c r="BE225" s="144"/>
      <c r="BF225" s="144"/>
    </row>
    <row r="226" spans="2:58" ht="12">
      <c r="B226" s="36"/>
      <c r="C226" s="36"/>
      <c r="H226" s="36"/>
      <c r="S226" s="144">
        <v>69</v>
      </c>
      <c r="T226" s="137">
        <f>INDEX(coa,INT((S226-1)/4)+1,2)</f>
        <v>0</v>
      </c>
      <c r="U226" s="240">
        <f>IF(T228=0,0,T226+0.01)</f>
        <v>0</v>
      </c>
      <c r="V226" s="225">
        <f>IF(T228=0,0,T227+0.01)</f>
        <v>0</v>
      </c>
      <c r="W226" s="244"/>
      <c r="X226" s="225"/>
      <c r="Y226" s="225">
        <f>INDEX(coag,INT((S226-1)/4)+1,1)</f>
        <v>0</v>
      </c>
      <c r="Z226" s="225">
        <f>IF(T228=0,0,Y226+0.01)</f>
        <v>0</v>
      </c>
      <c r="AA226" s="225">
        <f>IF(T228=0,0,Y227+0.01)</f>
        <v>0</v>
      </c>
      <c r="AC226" s="137"/>
      <c r="AD226" s="137"/>
      <c r="BE226" s="144"/>
      <c r="BF226" s="144"/>
    </row>
    <row r="227" spans="2:58" ht="12">
      <c r="B227" s="36"/>
      <c r="C227" s="36"/>
      <c r="H227" s="36"/>
      <c r="S227" s="144">
        <v>70</v>
      </c>
      <c r="T227" s="137">
        <f>INDEX(coa,INT((S226-1)/4)+1,3)</f>
        <v>0</v>
      </c>
      <c r="U227" s="240">
        <f>U226</f>
        <v>0</v>
      </c>
      <c r="V227" s="225">
        <f>IF(T228=0,0,T227-0.01)</f>
        <v>0</v>
      </c>
      <c r="W227" s="244"/>
      <c r="X227" s="225"/>
      <c r="Y227" s="225">
        <f>INDEX(coag,INT((S226-1)/4)+1,2)</f>
        <v>0</v>
      </c>
      <c r="Z227" s="225">
        <f>Z226</f>
        <v>0</v>
      </c>
      <c r="AA227" s="225">
        <f>IF(T228=0,0,Y227-0.01)</f>
        <v>0</v>
      </c>
      <c r="AC227" s="137"/>
      <c r="AD227" s="137"/>
      <c r="BE227" s="144"/>
      <c r="BF227" s="144"/>
    </row>
    <row r="228" spans="2:58" ht="12">
      <c r="B228" s="36"/>
      <c r="C228" s="36"/>
      <c r="H228" s="36"/>
      <c r="S228" s="144">
        <v>71</v>
      </c>
      <c r="T228" s="225">
        <f>INDEX(coa,INT((S226-1)/4)+1,1)/2000</f>
        <v>0</v>
      </c>
      <c r="U228" s="240">
        <f>IF(T228=0,0,T226-0.01)</f>
        <v>0</v>
      </c>
      <c r="V228" s="225">
        <f>V227</f>
        <v>0</v>
      </c>
      <c r="W228" s="244"/>
      <c r="X228" s="225"/>
      <c r="Y228" s="225">
        <f>T228</f>
        <v>0</v>
      </c>
      <c r="Z228" s="225">
        <f>IF(T228=0,0,Y226-0.01)</f>
        <v>0</v>
      </c>
      <c r="AA228" s="225">
        <f>AA227</f>
        <v>0</v>
      </c>
      <c r="AC228" s="137"/>
      <c r="AD228" s="137"/>
      <c r="BE228" s="144"/>
      <c r="BF228" s="144"/>
    </row>
    <row r="229" spans="2:58" ht="12">
      <c r="B229" s="36"/>
      <c r="C229" s="36"/>
      <c r="H229" s="36"/>
      <c r="S229" s="144">
        <v>72</v>
      </c>
      <c r="U229" s="240">
        <f>U228</f>
        <v>0</v>
      </c>
      <c r="V229" s="225">
        <f>V226</f>
        <v>0</v>
      </c>
      <c r="W229" s="244"/>
      <c r="X229" s="225"/>
      <c r="Y229" s="225"/>
      <c r="Z229" s="225">
        <f>Z228</f>
        <v>0</v>
      </c>
      <c r="AA229" s="225">
        <f>AA226</f>
        <v>0</v>
      </c>
      <c r="AC229" s="137"/>
      <c r="AD229" s="137"/>
      <c r="BE229" s="144"/>
      <c r="BF229" s="144"/>
    </row>
    <row r="230" spans="2:58" ht="12">
      <c r="B230" s="36"/>
      <c r="C230" s="36"/>
      <c r="H230" s="36"/>
      <c r="U230" s="240">
        <f>U226</f>
        <v>0</v>
      </c>
      <c r="V230" s="225">
        <f>V226</f>
        <v>0</v>
      </c>
      <c r="W230" s="244"/>
      <c r="X230" s="225"/>
      <c r="Y230" s="225"/>
      <c r="Z230" s="261">
        <f>Z226</f>
        <v>0</v>
      </c>
      <c r="AA230" s="261">
        <f>AA226</f>
        <v>0</v>
      </c>
      <c r="AC230" s="137"/>
      <c r="AD230" s="137"/>
      <c r="BE230" s="144"/>
      <c r="BF230" s="144"/>
    </row>
    <row r="231" spans="2:58" ht="12">
      <c r="B231" s="36"/>
      <c r="C231" s="36"/>
      <c r="H231" s="36"/>
      <c r="U231" s="240"/>
      <c r="V231" s="225"/>
      <c r="W231" s="244"/>
      <c r="X231" s="225"/>
      <c r="Y231" s="225"/>
      <c r="Z231" s="240"/>
      <c r="AA231" s="244"/>
      <c r="AC231" s="137"/>
      <c r="AD231" s="137"/>
      <c r="BE231" s="144"/>
      <c r="BF231" s="144"/>
    </row>
    <row r="232" spans="2:58" ht="12">
      <c r="B232" s="36"/>
      <c r="C232" s="36"/>
      <c r="H232" s="36"/>
      <c r="S232" s="144">
        <v>73</v>
      </c>
      <c r="T232" s="137">
        <f>INDEX(coa,INT((S232-1)/4)+1,2)</f>
        <v>0</v>
      </c>
      <c r="U232" s="240">
        <f>IF(T234=0,0,T232+0.01)</f>
        <v>0</v>
      </c>
      <c r="V232" s="225">
        <f>IF(T234=0,0,T233+0.01)</f>
        <v>0</v>
      </c>
      <c r="W232" s="244"/>
      <c r="X232" s="225"/>
      <c r="Y232" s="225">
        <f>INDEX(coag,INT((S232-1)/4)+1,1)</f>
        <v>0</v>
      </c>
      <c r="Z232" s="225">
        <f>IF(T234=0,0,Y232+0.01)</f>
        <v>0</v>
      </c>
      <c r="AA232" s="225">
        <f>IF(T234=0,0,Y233+0.01)</f>
        <v>0</v>
      </c>
      <c r="AC232" s="137"/>
      <c r="AD232" s="137"/>
      <c r="BE232" s="144"/>
      <c r="BF232" s="144"/>
    </row>
    <row r="233" spans="2:58" ht="12">
      <c r="B233" s="36"/>
      <c r="C233" s="36"/>
      <c r="H233" s="36"/>
      <c r="S233" s="144">
        <v>74</v>
      </c>
      <c r="T233" s="137">
        <f>INDEX(coa,INT((S232-1)/4)+1,3)</f>
        <v>0</v>
      </c>
      <c r="U233" s="240">
        <f>U232</f>
        <v>0</v>
      </c>
      <c r="V233" s="225">
        <f>IF(T234=0,0,T233-0.01)</f>
        <v>0</v>
      </c>
      <c r="W233" s="244"/>
      <c r="X233" s="225"/>
      <c r="Y233" s="225">
        <f>INDEX(coag,INT((S232-1)/4)+1,2)</f>
        <v>0</v>
      </c>
      <c r="Z233" s="225">
        <f>Z232</f>
        <v>0</v>
      </c>
      <c r="AA233" s="225">
        <f>IF(T234=0,0,Y233-0.01)</f>
        <v>0</v>
      </c>
      <c r="AC233" s="137"/>
      <c r="AD233" s="137"/>
      <c r="BE233" s="144"/>
      <c r="BF233" s="144"/>
    </row>
    <row r="234" spans="2:58" ht="12">
      <c r="B234" s="36"/>
      <c r="C234" s="36"/>
      <c r="H234" s="36"/>
      <c r="S234" s="144">
        <v>75</v>
      </c>
      <c r="T234" s="225">
        <f>INDEX(coa,INT((S232-1)/4)+1,1)/2000</f>
        <v>0</v>
      </c>
      <c r="U234" s="240">
        <f>IF(T234=0,0,T232-0.01)</f>
        <v>0</v>
      </c>
      <c r="V234" s="225">
        <f>V233</f>
        <v>0</v>
      </c>
      <c r="W234" s="244"/>
      <c r="X234" s="225"/>
      <c r="Y234" s="225">
        <f>T234</f>
        <v>0</v>
      </c>
      <c r="Z234" s="225">
        <f>IF(T234=0,0,Y232-0.01)</f>
        <v>0</v>
      </c>
      <c r="AA234" s="225">
        <f>AA233</f>
        <v>0</v>
      </c>
      <c r="AC234" s="137"/>
      <c r="AD234" s="137"/>
      <c r="BE234" s="144"/>
      <c r="BF234" s="144"/>
    </row>
    <row r="235" spans="2:58" ht="12">
      <c r="B235" s="36"/>
      <c r="C235" s="36"/>
      <c r="H235" s="36"/>
      <c r="S235" s="144">
        <v>76</v>
      </c>
      <c r="U235" s="240">
        <f>U234</f>
        <v>0</v>
      </c>
      <c r="V235" s="225">
        <f>V232</f>
        <v>0</v>
      </c>
      <c r="W235" s="244"/>
      <c r="X235" s="225"/>
      <c r="Y235" s="225"/>
      <c r="Z235" s="225">
        <f>Z234</f>
        <v>0</v>
      </c>
      <c r="AA235" s="225">
        <f>AA232</f>
        <v>0</v>
      </c>
      <c r="AC235" s="137"/>
      <c r="AD235" s="137"/>
      <c r="BE235" s="144"/>
      <c r="BF235" s="144"/>
    </row>
    <row r="236" spans="2:58" ht="12">
      <c r="B236" s="36"/>
      <c r="C236" s="36"/>
      <c r="H236" s="36"/>
      <c r="U236" s="240">
        <f>U232</f>
        <v>0</v>
      </c>
      <c r="V236" s="225">
        <f>V232</f>
        <v>0</v>
      </c>
      <c r="W236" s="244"/>
      <c r="X236" s="225"/>
      <c r="Y236" s="225"/>
      <c r="Z236" s="261">
        <f>Z232</f>
        <v>0</v>
      </c>
      <c r="AA236" s="261">
        <f>AA232</f>
        <v>0</v>
      </c>
      <c r="AC236" s="137"/>
      <c r="AD236" s="137"/>
      <c r="BE236" s="144"/>
      <c r="BF236" s="144"/>
    </row>
    <row r="237" spans="2:58" ht="12">
      <c r="B237" s="36"/>
      <c r="C237" s="36"/>
      <c r="H237" s="36"/>
      <c r="U237" s="240"/>
      <c r="V237" s="225"/>
      <c r="W237" s="244"/>
      <c r="X237" s="225"/>
      <c r="Y237" s="225"/>
      <c r="Z237" s="240"/>
      <c r="AA237" s="244"/>
      <c r="AC237" s="137"/>
      <c r="AD237" s="137"/>
      <c r="BE237" s="144"/>
      <c r="BF237" s="144"/>
    </row>
    <row r="238" spans="2:58" ht="12">
      <c r="B238" s="36"/>
      <c r="C238" s="36"/>
      <c r="H238" s="36"/>
      <c r="S238" s="144">
        <v>77</v>
      </c>
      <c r="T238" s="137">
        <f>INDEX(coa,INT((S238-1)/4)+1,2)</f>
        <v>0</v>
      </c>
      <c r="U238" s="240">
        <f>IF(T240=0,0,T238+0.01)</f>
        <v>0</v>
      </c>
      <c r="V238" s="225">
        <f>IF(T240=0,0,T239+0.01)</f>
        <v>0</v>
      </c>
      <c r="W238" s="244"/>
      <c r="X238" s="225"/>
      <c r="Y238" s="225">
        <f>INDEX(coag,INT((S238-1)/4)+1,1)</f>
        <v>0</v>
      </c>
      <c r="Z238" s="225">
        <f>IF(T240=0,0,Y238+0.01)</f>
        <v>0</v>
      </c>
      <c r="AA238" s="225">
        <f>IF(T240=0,0,Y239+0.01)</f>
        <v>0</v>
      </c>
      <c r="AC238" s="137"/>
      <c r="AD238" s="137"/>
      <c r="BE238" s="144"/>
      <c r="BF238" s="144"/>
    </row>
    <row r="239" spans="2:58" ht="12">
      <c r="B239" s="36"/>
      <c r="C239" s="36"/>
      <c r="H239" s="36"/>
      <c r="S239" s="144">
        <v>78</v>
      </c>
      <c r="T239" s="137">
        <f>INDEX(coa,INT((S238-1)/4)+1,3)</f>
        <v>0</v>
      </c>
      <c r="U239" s="240">
        <f>U238</f>
        <v>0</v>
      </c>
      <c r="V239" s="225">
        <f>IF(T240=0,0,T239-0.01)</f>
        <v>0</v>
      </c>
      <c r="W239" s="244"/>
      <c r="X239" s="225"/>
      <c r="Y239" s="225">
        <f>INDEX(coag,INT((S238-1)/4)+1,2)</f>
        <v>0</v>
      </c>
      <c r="Z239" s="225">
        <f>Z238</f>
        <v>0</v>
      </c>
      <c r="AA239" s="225">
        <f>IF(T240=0,0,Y239-0.01)</f>
        <v>0</v>
      </c>
      <c r="AC239" s="137"/>
      <c r="AD239" s="137"/>
      <c r="BE239" s="144"/>
      <c r="BF239" s="144"/>
    </row>
    <row r="240" spans="2:58" ht="12">
      <c r="B240" s="36"/>
      <c r="C240" s="36"/>
      <c r="H240" s="36"/>
      <c r="S240" s="144">
        <v>79</v>
      </c>
      <c r="T240" s="225">
        <f>INDEX(coa,INT((S238-1)/4)+1,1)/2000</f>
        <v>0</v>
      </c>
      <c r="U240" s="240">
        <f>IF(T240=0,0,T238-0.01)</f>
        <v>0</v>
      </c>
      <c r="V240" s="225">
        <f>V239</f>
        <v>0</v>
      </c>
      <c r="W240" s="244"/>
      <c r="X240" s="225"/>
      <c r="Y240" s="225">
        <f>T240</f>
        <v>0</v>
      </c>
      <c r="Z240" s="225">
        <f>IF(T240=0,0,Y238-0.01)</f>
        <v>0</v>
      </c>
      <c r="AA240" s="225">
        <f>AA239</f>
        <v>0</v>
      </c>
      <c r="AC240" s="137"/>
      <c r="AD240" s="137"/>
      <c r="BE240" s="144"/>
      <c r="BF240" s="144"/>
    </row>
    <row r="241" spans="2:58" ht="12">
      <c r="B241" s="36"/>
      <c r="C241" s="36"/>
      <c r="H241" s="36"/>
      <c r="S241" s="144">
        <v>80</v>
      </c>
      <c r="U241" s="240">
        <f>U240</f>
        <v>0</v>
      </c>
      <c r="V241" s="225">
        <f>V238</f>
        <v>0</v>
      </c>
      <c r="W241" s="244"/>
      <c r="X241" s="225"/>
      <c r="Y241" s="225"/>
      <c r="Z241" s="225">
        <f>Z240</f>
        <v>0</v>
      </c>
      <c r="AA241" s="225">
        <f>AA238</f>
        <v>0</v>
      </c>
      <c r="AC241" s="137"/>
      <c r="AD241" s="137"/>
      <c r="BE241" s="144"/>
      <c r="BF241" s="144"/>
    </row>
    <row r="242" spans="2:58" ht="12">
      <c r="B242" s="36"/>
      <c r="C242" s="36"/>
      <c r="H242" s="36"/>
      <c r="U242" s="240">
        <f>U238</f>
        <v>0</v>
      </c>
      <c r="V242" s="225">
        <f>V238</f>
        <v>0</v>
      </c>
      <c r="W242" s="244"/>
      <c r="X242" s="225"/>
      <c r="Y242" s="225"/>
      <c r="Z242" s="261">
        <f>Z238</f>
        <v>0</v>
      </c>
      <c r="AA242" s="261">
        <f>AA238</f>
        <v>0</v>
      </c>
      <c r="AC242" s="137"/>
      <c r="AD242" s="137"/>
      <c r="BE242" s="144"/>
      <c r="BF242" s="144"/>
    </row>
    <row r="243" spans="2:58" ht="12">
      <c r="B243" s="36"/>
      <c r="C243" s="36"/>
      <c r="H243" s="36"/>
      <c r="U243" s="240"/>
      <c r="V243" s="225"/>
      <c r="W243" s="244"/>
      <c r="X243" s="225"/>
      <c r="Y243" s="225"/>
      <c r="Z243" s="240"/>
      <c r="AA243" s="244"/>
      <c r="AC243" s="137"/>
      <c r="AD243" s="137"/>
      <c r="BE243" s="144"/>
      <c r="BF243" s="144"/>
    </row>
    <row r="244" spans="2:58" ht="12">
      <c r="B244" s="36"/>
      <c r="C244" s="36"/>
      <c r="H244" s="36"/>
      <c r="S244" s="144">
        <v>81</v>
      </c>
      <c r="T244" s="137">
        <f>INDEX(coa,INT((S244-1)/4)+1,2)</f>
        <v>0</v>
      </c>
      <c r="U244" s="240">
        <f>IF(T246=0,0,T244+0.01)</f>
        <v>0</v>
      </c>
      <c r="V244" s="225">
        <f>IF(T246=0,0,T245+0.01)</f>
        <v>0</v>
      </c>
      <c r="W244" s="244"/>
      <c r="X244" s="225"/>
      <c r="Y244" s="225">
        <f>INDEX(coag,INT((S244-1)/4)+1,1)</f>
        <v>0</v>
      </c>
      <c r="Z244" s="225">
        <f>IF(T246=0,0,Y244+0.01)</f>
        <v>0</v>
      </c>
      <c r="AA244" s="225">
        <f>IF(T246=0,0,Y245+0.01)</f>
        <v>0</v>
      </c>
      <c r="AC244" s="137"/>
      <c r="AD244" s="137"/>
      <c r="BE244" s="144"/>
      <c r="BF244" s="144"/>
    </row>
    <row r="245" spans="2:58" ht="12">
      <c r="B245" s="36"/>
      <c r="C245" s="36"/>
      <c r="H245" s="36"/>
      <c r="S245" s="144">
        <v>82</v>
      </c>
      <c r="T245" s="137">
        <f>INDEX(coa,INT((S244-1)/4)+1,3)</f>
        <v>0</v>
      </c>
      <c r="U245" s="240">
        <f>U244</f>
        <v>0</v>
      </c>
      <c r="V245" s="225">
        <f>IF(T246=0,0,T245-0.01)</f>
        <v>0</v>
      </c>
      <c r="W245" s="244"/>
      <c r="X245" s="225"/>
      <c r="Y245" s="225">
        <f>INDEX(coag,INT((S244-1)/4)+1,2)</f>
        <v>0</v>
      </c>
      <c r="Z245" s="225">
        <f>Z244</f>
        <v>0</v>
      </c>
      <c r="AA245" s="225">
        <f>IF(T246=0,0,Y245-0.01)</f>
        <v>0</v>
      </c>
      <c r="AC245" s="137"/>
      <c r="AD245" s="137"/>
      <c r="BE245" s="144"/>
      <c r="BF245" s="144"/>
    </row>
    <row r="246" spans="2:58" ht="12">
      <c r="B246" s="36"/>
      <c r="C246" s="36"/>
      <c r="H246" s="36"/>
      <c r="S246" s="144">
        <v>83</v>
      </c>
      <c r="T246" s="225">
        <f>INDEX(coa,INT((S244-1)/4)+1,1)/2000</f>
        <v>0</v>
      </c>
      <c r="U246" s="240">
        <f>IF(T246=0,0,T244-0.01)</f>
        <v>0</v>
      </c>
      <c r="V246" s="225">
        <f>V245</f>
        <v>0</v>
      </c>
      <c r="W246" s="244"/>
      <c r="X246" s="225"/>
      <c r="Y246" s="225">
        <f>T246</f>
        <v>0</v>
      </c>
      <c r="Z246" s="225">
        <f>IF(T246=0,0,Y244-0.01)</f>
        <v>0</v>
      </c>
      <c r="AA246" s="225">
        <f>AA245</f>
        <v>0</v>
      </c>
      <c r="AC246" s="137"/>
      <c r="AD246" s="137"/>
      <c r="BE246" s="144"/>
      <c r="BF246" s="144"/>
    </row>
    <row r="247" spans="2:58" ht="12">
      <c r="B247" s="36"/>
      <c r="C247" s="36"/>
      <c r="H247" s="36"/>
      <c r="S247" s="144">
        <v>84</v>
      </c>
      <c r="U247" s="240">
        <f>U246</f>
        <v>0</v>
      </c>
      <c r="V247" s="225">
        <f>V244</f>
        <v>0</v>
      </c>
      <c r="W247" s="244"/>
      <c r="X247" s="225"/>
      <c r="Y247" s="225"/>
      <c r="Z247" s="225">
        <f>Z246</f>
        <v>0</v>
      </c>
      <c r="AA247" s="225">
        <f>AA244</f>
        <v>0</v>
      </c>
      <c r="AC247" s="137"/>
      <c r="AD247" s="137"/>
      <c r="BE247" s="144"/>
      <c r="BF247" s="144"/>
    </row>
    <row r="248" spans="2:58" ht="12">
      <c r="B248" s="36"/>
      <c r="C248" s="36"/>
      <c r="H248" s="36"/>
      <c r="U248" s="240">
        <f>U244</f>
        <v>0</v>
      </c>
      <c r="V248" s="225">
        <f>V244</f>
        <v>0</v>
      </c>
      <c r="W248" s="244"/>
      <c r="X248" s="225"/>
      <c r="Y248" s="225"/>
      <c r="Z248" s="261">
        <f>Z244</f>
        <v>0</v>
      </c>
      <c r="AA248" s="261">
        <f>AA244</f>
        <v>0</v>
      </c>
      <c r="AC248" s="137"/>
      <c r="AD248" s="137"/>
      <c r="BE248" s="144"/>
      <c r="BF248" s="144"/>
    </row>
    <row r="249" spans="2:58" ht="12">
      <c r="B249" s="36"/>
      <c r="C249" s="36"/>
      <c r="H249" s="36"/>
      <c r="U249" s="240"/>
      <c r="V249" s="225"/>
      <c r="W249" s="244"/>
      <c r="X249" s="225"/>
      <c r="Y249" s="225"/>
      <c r="Z249" s="240"/>
      <c r="AA249" s="244"/>
      <c r="AC249" s="137"/>
      <c r="AD249" s="137"/>
      <c r="BE249" s="144"/>
      <c r="BF249" s="144"/>
    </row>
    <row r="250" spans="2:58" ht="12">
      <c r="B250" s="36"/>
      <c r="C250" s="36"/>
      <c r="H250" s="36"/>
      <c r="S250" s="144">
        <v>85</v>
      </c>
      <c r="T250" s="137">
        <f>INDEX(coa,INT((S250-1)/4)+1,2)</f>
        <v>0</v>
      </c>
      <c r="U250" s="240">
        <f>IF(T252=0,0,T250+0.01)</f>
        <v>0</v>
      </c>
      <c r="V250" s="225">
        <f>IF(T252=0,0,T251+0.01)</f>
        <v>0</v>
      </c>
      <c r="W250" s="244"/>
      <c r="X250" s="225"/>
      <c r="Y250" s="225">
        <f>INDEX(coag,INT((S250-1)/4)+1,1)</f>
        <v>0</v>
      </c>
      <c r="Z250" s="225">
        <f>IF(T252=0,0,Y250+0.01)</f>
        <v>0</v>
      </c>
      <c r="AA250" s="225">
        <f>IF(T252=0,0,Y251+0.01)</f>
        <v>0</v>
      </c>
      <c r="AC250" s="137"/>
      <c r="AD250" s="137"/>
      <c r="BE250" s="144"/>
      <c r="BF250" s="144"/>
    </row>
    <row r="251" spans="2:58" ht="12">
      <c r="B251" s="36"/>
      <c r="C251" s="36"/>
      <c r="H251" s="36"/>
      <c r="S251" s="144">
        <v>86</v>
      </c>
      <c r="T251" s="137">
        <f>INDEX(coa,INT((S250-1)/4)+1,3)</f>
        <v>0</v>
      </c>
      <c r="U251" s="240">
        <f>U250</f>
        <v>0</v>
      </c>
      <c r="V251" s="225">
        <f>IF(T252=0,0,T251-0.01)</f>
        <v>0</v>
      </c>
      <c r="W251" s="244"/>
      <c r="X251" s="225"/>
      <c r="Y251" s="225">
        <f>INDEX(coag,INT((S250-1)/4)+1,2)</f>
        <v>0</v>
      </c>
      <c r="Z251" s="225">
        <f>Z250</f>
        <v>0</v>
      </c>
      <c r="AA251" s="225">
        <f>IF(T252=0,0,Y251-0.01)</f>
        <v>0</v>
      </c>
      <c r="AC251" s="137"/>
      <c r="AD251" s="137"/>
      <c r="BE251" s="144"/>
      <c r="BF251" s="144"/>
    </row>
    <row r="252" spans="2:58" ht="12">
      <c r="B252" s="36"/>
      <c r="C252" s="36"/>
      <c r="H252" s="36"/>
      <c r="S252" s="144">
        <v>87</v>
      </c>
      <c r="T252" s="225">
        <f>INDEX(coa,INT((S250-1)/4)+1,1)/2000</f>
        <v>0</v>
      </c>
      <c r="U252" s="240">
        <f>IF(T252=0,0,T250-0.01)</f>
        <v>0</v>
      </c>
      <c r="V252" s="225">
        <f>V251</f>
        <v>0</v>
      </c>
      <c r="W252" s="244"/>
      <c r="X252" s="225"/>
      <c r="Y252" s="225">
        <f>T252</f>
        <v>0</v>
      </c>
      <c r="Z252" s="225">
        <f>IF(T252=0,0,Y250-0.01)</f>
        <v>0</v>
      </c>
      <c r="AA252" s="225">
        <f>AA251</f>
        <v>0</v>
      </c>
      <c r="AC252" s="137"/>
      <c r="AD252" s="137"/>
      <c r="BE252" s="144"/>
      <c r="BF252" s="144"/>
    </row>
    <row r="253" spans="2:58" ht="12">
      <c r="B253" s="36"/>
      <c r="C253" s="36"/>
      <c r="H253" s="36"/>
      <c r="S253" s="144">
        <v>88</v>
      </c>
      <c r="U253" s="240">
        <f>U252</f>
        <v>0</v>
      </c>
      <c r="V253" s="225">
        <f>V250</f>
        <v>0</v>
      </c>
      <c r="W253" s="244"/>
      <c r="X253" s="225"/>
      <c r="Y253" s="225"/>
      <c r="Z253" s="225">
        <f>Z252</f>
        <v>0</v>
      </c>
      <c r="AA253" s="225">
        <f>AA250</f>
        <v>0</v>
      </c>
      <c r="AC253" s="137"/>
      <c r="AD253" s="137"/>
      <c r="BE253" s="144"/>
      <c r="BF253" s="144"/>
    </row>
    <row r="254" spans="2:58" ht="12">
      <c r="B254" s="36"/>
      <c r="C254" s="36"/>
      <c r="H254" s="36"/>
      <c r="U254" s="240">
        <f>U250</f>
        <v>0</v>
      </c>
      <c r="V254" s="225">
        <f>V250</f>
        <v>0</v>
      </c>
      <c r="W254" s="244"/>
      <c r="X254" s="225"/>
      <c r="Y254" s="225"/>
      <c r="Z254" s="261">
        <f>Z250</f>
        <v>0</v>
      </c>
      <c r="AA254" s="261">
        <f>AA250</f>
        <v>0</v>
      </c>
      <c r="AC254" s="137"/>
      <c r="AD254" s="137"/>
      <c r="BE254" s="144"/>
      <c r="BF254" s="144"/>
    </row>
    <row r="255" spans="2:58" ht="12">
      <c r="B255" s="36"/>
      <c r="C255" s="36"/>
      <c r="H255" s="36"/>
      <c r="U255" s="240"/>
      <c r="V255" s="225"/>
      <c r="W255" s="244"/>
      <c r="X255" s="225"/>
      <c r="Y255" s="225"/>
      <c r="Z255" s="240"/>
      <c r="AA255" s="244"/>
      <c r="AC255" s="137"/>
      <c r="AD255" s="137"/>
      <c r="BE255" s="144"/>
      <c r="BF255" s="144"/>
    </row>
    <row r="256" spans="2:58" ht="12">
      <c r="B256" s="36"/>
      <c r="C256" s="36"/>
      <c r="H256" s="36"/>
      <c r="S256" s="144">
        <v>89</v>
      </c>
      <c r="T256" s="137">
        <f>INDEX(coa,INT((S256-1)/4)+1,2)</f>
        <v>0</v>
      </c>
      <c r="U256" s="240">
        <f>IF(T258=0,0,T256+0.01)</f>
        <v>0</v>
      </c>
      <c r="V256" s="225">
        <f>IF(T258=0,0,T257+0.01)</f>
        <v>0</v>
      </c>
      <c r="W256" s="244"/>
      <c r="X256" s="225"/>
      <c r="Y256" s="225">
        <f>INDEX(coag,INT((S256-1)/4)+1,1)</f>
        <v>0</v>
      </c>
      <c r="Z256" s="225">
        <f>IF(T258=0,0,Y256+0.01)</f>
        <v>0</v>
      </c>
      <c r="AA256" s="225">
        <f>IF(T258=0,0,Y257+0.01)</f>
        <v>0</v>
      </c>
      <c r="AC256" s="137"/>
      <c r="AD256" s="137"/>
      <c r="BE256" s="144"/>
      <c r="BF256" s="144"/>
    </row>
    <row r="257" spans="2:58" ht="12">
      <c r="B257" s="36"/>
      <c r="C257" s="36"/>
      <c r="H257" s="36"/>
      <c r="S257" s="144">
        <v>90</v>
      </c>
      <c r="T257" s="137">
        <f>INDEX(coa,INT((S256-1)/4)+1,3)</f>
        <v>0</v>
      </c>
      <c r="U257" s="240">
        <f>U256</f>
        <v>0</v>
      </c>
      <c r="V257" s="225">
        <f>IF(T258=0,0,T257-0.01)</f>
        <v>0</v>
      </c>
      <c r="W257" s="244"/>
      <c r="X257" s="225"/>
      <c r="Y257" s="225">
        <f>INDEX(coag,INT((S256-1)/4)+1,2)</f>
        <v>0</v>
      </c>
      <c r="Z257" s="225">
        <f>Z256</f>
        <v>0</v>
      </c>
      <c r="AA257" s="225">
        <f>IF(T258=0,0,Y257-0.01)</f>
        <v>0</v>
      </c>
      <c r="AC257" s="137"/>
      <c r="AD257" s="137"/>
      <c r="BE257" s="144"/>
      <c r="BF257" s="144"/>
    </row>
    <row r="258" spans="2:58" ht="12">
      <c r="B258" s="36"/>
      <c r="C258" s="36"/>
      <c r="H258" s="36"/>
      <c r="S258" s="144">
        <v>91</v>
      </c>
      <c r="T258" s="225">
        <f>INDEX(coa,INT((S256-1)/4)+1,1)/2000</f>
        <v>0</v>
      </c>
      <c r="U258" s="240">
        <f>IF(T258=0,0,T256-0.01)</f>
        <v>0</v>
      </c>
      <c r="V258" s="225">
        <f>V257</f>
        <v>0</v>
      </c>
      <c r="W258" s="244"/>
      <c r="X258" s="225"/>
      <c r="Y258" s="225">
        <f>T258</f>
        <v>0</v>
      </c>
      <c r="Z258" s="225">
        <f>IF(T258=0,0,Y256-0.01)</f>
        <v>0</v>
      </c>
      <c r="AA258" s="225">
        <f>AA257</f>
        <v>0</v>
      </c>
      <c r="AC258" s="137"/>
      <c r="AD258" s="137"/>
      <c r="BE258" s="144"/>
      <c r="BF258" s="144"/>
    </row>
    <row r="259" spans="2:58" ht="12">
      <c r="B259" s="36"/>
      <c r="C259" s="36"/>
      <c r="H259" s="36"/>
      <c r="S259" s="144">
        <v>92</v>
      </c>
      <c r="U259" s="240">
        <f>U258</f>
        <v>0</v>
      </c>
      <c r="V259" s="225">
        <f>V256</f>
        <v>0</v>
      </c>
      <c r="W259" s="244"/>
      <c r="X259" s="225"/>
      <c r="Y259" s="225"/>
      <c r="Z259" s="225">
        <f>Z258</f>
        <v>0</v>
      </c>
      <c r="AA259" s="225">
        <f>AA256</f>
        <v>0</v>
      </c>
      <c r="AC259" s="137"/>
      <c r="AD259" s="137"/>
      <c r="BE259" s="144"/>
      <c r="BF259" s="144"/>
    </row>
    <row r="260" spans="2:58" ht="12">
      <c r="B260" s="36"/>
      <c r="C260" s="36"/>
      <c r="H260" s="36"/>
      <c r="U260" s="240">
        <f>U256</f>
        <v>0</v>
      </c>
      <c r="V260" s="225">
        <f>V256</f>
        <v>0</v>
      </c>
      <c r="W260" s="244"/>
      <c r="X260" s="225"/>
      <c r="Y260" s="225"/>
      <c r="Z260" s="261">
        <f>Z256</f>
        <v>0</v>
      </c>
      <c r="AA260" s="261">
        <f>AA256</f>
        <v>0</v>
      </c>
      <c r="AC260" s="137"/>
      <c r="AD260" s="137"/>
      <c r="BE260" s="144"/>
      <c r="BF260" s="144"/>
    </row>
    <row r="261" spans="2:58" ht="12">
      <c r="B261" s="36"/>
      <c r="C261" s="36"/>
      <c r="H261" s="36"/>
      <c r="U261" s="240"/>
      <c r="V261" s="225"/>
      <c r="W261" s="244"/>
      <c r="X261" s="225"/>
      <c r="Z261" s="240"/>
      <c r="AA261" s="244"/>
      <c r="AC261" s="137"/>
      <c r="AD261" s="137"/>
      <c r="BE261" s="144"/>
      <c r="BF261" s="144"/>
    </row>
    <row r="262" spans="2:58" ht="12">
      <c r="B262" s="36"/>
      <c r="C262" s="36"/>
      <c r="H262" s="36"/>
      <c r="S262" s="144">
        <v>93</v>
      </c>
      <c r="T262" s="137">
        <f>INDEX(coa,INT((S262-1)/4)+1,2)</f>
        <v>0</v>
      </c>
      <c r="U262" s="240">
        <f>IF(T264=0,0,T262+0.01)</f>
        <v>0</v>
      </c>
      <c r="V262" s="225">
        <f>IF(T264=0,0,T263+0.01)</f>
        <v>0</v>
      </c>
      <c r="W262" s="244"/>
      <c r="X262" s="225"/>
      <c r="Y262" s="225">
        <f>INDEX(coag,INT((S262-1)/4)+1,1)</f>
        <v>0</v>
      </c>
      <c r="Z262" s="225">
        <f>IF(T264=0,0,Y262+0.01)</f>
        <v>0</v>
      </c>
      <c r="AA262" s="225">
        <f>IF(T264=0,0,Y263+0.01)</f>
        <v>0</v>
      </c>
      <c r="AC262" s="137"/>
      <c r="AD262" s="137"/>
      <c r="BE262" s="144"/>
      <c r="BF262" s="144"/>
    </row>
    <row r="263" spans="2:58" ht="12">
      <c r="B263" s="36"/>
      <c r="C263" s="36"/>
      <c r="H263" s="36"/>
      <c r="S263" s="144">
        <v>94</v>
      </c>
      <c r="T263" s="137">
        <f>INDEX(coa,INT((S262-1)/4)+1,3)</f>
        <v>0</v>
      </c>
      <c r="U263" s="240">
        <f>U262</f>
        <v>0</v>
      </c>
      <c r="V263" s="225">
        <f>IF(T264=0,0,T263-0.01)</f>
        <v>0</v>
      </c>
      <c r="W263" s="244"/>
      <c r="X263" s="225"/>
      <c r="Y263" s="225">
        <f>INDEX(coag,INT((S262-1)/4)+1,2)</f>
        <v>0</v>
      </c>
      <c r="Z263" s="225">
        <f>Z262</f>
        <v>0</v>
      </c>
      <c r="AA263" s="225">
        <f>IF(T264=0,0,Y263-0.01)</f>
        <v>0</v>
      </c>
      <c r="AC263" s="137"/>
      <c r="AD263" s="137"/>
      <c r="BE263" s="144"/>
      <c r="BF263" s="144"/>
    </row>
    <row r="264" spans="2:58" ht="12">
      <c r="B264" s="36"/>
      <c r="C264" s="36"/>
      <c r="H264" s="36"/>
      <c r="S264" s="144">
        <v>95</v>
      </c>
      <c r="T264" s="225">
        <f>INDEX(coa,INT((S262-1)/4)+1,1)/2000</f>
        <v>0</v>
      </c>
      <c r="U264" s="240">
        <f>IF(T264=0,0,T262-0.01)</f>
        <v>0</v>
      </c>
      <c r="V264" s="225">
        <f>V263</f>
        <v>0</v>
      </c>
      <c r="W264" s="244"/>
      <c r="X264" s="225"/>
      <c r="Y264" s="225">
        <f>T264</f>
        <v>0</v>
      </c>
      <c r="Z264" s="225">
        <f>IF(T264=0,0,Y262-0.01)</f>
        <v>0</v>
      </c>
      <c r="AA264" s="225">
        <f>AA263</f>
        <v>0</v>
      </c>
      <c r="AC264" s="137"/>
      <c r="AD264" s="137"/>
      <c r="BE264" s="144"/>
      <c r="BF264" s="144"/>
    </row>
    <row r="265" spans="2:58" ht="12">
      <c r="B265" s="36"/>
      <c r="C265" s="36"/>
      <c r="H265" s="36"/>
      <c r="S265" s="144">
        <v>96</v>
      </c>
      <c r="U265" s="240">
        <f>U264</f>
        <v>0</v>
      </c>
      <c r="V265" s="225">
        <f>V262</f>
        <v>0</v>
      </c>
      <c r="W265" s="244"/>
      <c r="X265" s="225"/>
      <c r="Y265" s="225"/>
      <c r="Z265" s="225">
        <f>Z264</f>
        <v>0</v>
      </c>
      <c r="AA265" s="225">
        <f>AA262</f>
        <v>0</v>
      </c>
      <c r="AC265" s="137"/>
      <c r="AD265" s="137"/>
      <c r="BE265" s="144"/>
      <c r="BF265" s="144"/>
    </row>
    <row r="266" spans="2:58" ht="12">
      <c r="B266" s="36"/>
      <c r="C266" s="36"/>
      <c r="H266" s="36"/>
      <c r="U266" s="240">
        <f>U262</f>
        <v>0</v>
      </c>
      <c r="V266" s="225">
        <f>V262</f>
        <v>0</v>
      </c>
      <c r="W266" s="244"/>
      <c r="X266" s="225"/>
      <c r="Y266" s="225"/>
      <c r="Z266" s="261">
        <f>Z262</f>
        <v>0</v>
      </c>
      <c r="AA266" s="261">
        <f>AA262</f>
        <v>0</v>
      </c>
      <c r="AC266" s="137"/>
      <c r="AD266" s="137"/>
      <c r="BE266" s="144"/>
      <c r="BF266" s="144"/>
    </row>
    <row r="267" spans="2:58" ht="12">
      <c r="B267" s="36"/>
      <c r="C267" s="36"/>
      <c r="H267" s="36"/>
      <c r="U267" s="240"/>
      <c r="V267" s="225"/>
      <c r="W267" s="244"/>
      <c r="X267" s="225"/>
      <c r="Z267" s="240"/>
      <c r="AA267" s="244"/>
      <c r="AC267" s="137"/>
      <c r="AD267" s="137"/>
      <c r="BE267" s="144"/>
      <c r="BF267" s="144"/>
    </row>
    <row r="268" spans="2:58" ht="12">
      <c r="B268" s="36"/>
      <c r="C268" s="36"/>
      <c r="H268" s="36"/>
      <c r="S268" s="144">
        <v>97</v>
      </c>
      <c r="T268" s="137">
        <f>INDEX(coa,INT((S268-1)/4)+1,2)</f>
        <v>0</v>
      </c>
      <c r="U268" s="240">
        <f>IF(T270=0,0,T268+0.01)</f>
        <v>0</v>
      </c>
      <c r="V268" s="225">
        <f>IF(T270=0,0,T269+0.01)</f>
        <v>0</v>
      </c>
      <c r="W268" s="244"/>
      <c r="X268" s="225"/>
      <c r="Y268" s="225">
        <f>INDEX(coag,INT((S268-1)/4)+1,1)</f>
        <v>0</v>
      </c>
      <c r="Z268" s="225">
        <f>IF(T270=0,0,Y268+0.01)</f>
        <v>0</v>
      </c>
      <c r="AA268" s="225">
        <f>IF(T270=0,0,Y269+0.01)</f>
        <v>0</v>
      </c>
      <c r="AC268" s="137"/>
      <c r="AD268" s="137"/>
      <c r="BE268" s="144"/>
      <c r="BF268" s="144"/>
    </row>
    <row r="269" spans="2:58" ht="12">
      <c r="B269" s="36"/>
      <c r="C269" s="36"/>
      <c r="H269" s="36"/>
      <c r="S269" s="144">
        <v>98</v>
      </c>
      <c r="T269" s="137">
        <f>INDEX(coa,INT((S268-1)/4)+1,3)</f>
        <v>0</v>
      </c>
      <c r="U269" s="240">
        <f>U268</f>
        <v>0</v>
      </c>
      <c r="V269" s="225">
        <f>IF(T270=0,0,T269-0.01)</f>
        <v>0</v>
      </c>
      <c r="W269" s="244"/>
      <c r="X269" s="225"/>
      <c r="Y269" s="225">
        <f>INDEX(coag,INT((S268-1)/4)+1,2)</f>
        <v>0</v>
      </c>
      <c r="Z269" s="225">
        <f>Z268</f>
        <v>0</v>
      </c>
      <c r="AA269" s="225">
        <f>IF(T270=0,0,Y269-0.01)</f>
        <v>0</v>
      </c>
      <c r="AC269" s="137"/>
      <c r="AD269" s="137"/>
      <c r="BE269" s="144"/>
      <c r="BF269" s="144"/>
    </row>
    <row r="270" spans="2:58" ht="12">
      <c r="B270" s="36"/>
      <c r="C270" s="36"/>
      <c r="H270" s="36"/>
      <c r="S270" s="144">
        <v>99</v>
      </c>
      <c r="T270" s="225">
        <f>INDEX(coa,INT((S268-1)/4)+1,1)/2000</f>
        <v>0</v>
      </c>
      <c r="U270" s="240">
        <f>IF(T270=0,0,T268-0.01)</f>
        <v>0</v>
      </c>
      <c r="V270" s="225">
        <f>V269</f>
        <v>0</v>
      </c>
      <c r="W270" s="244"/>
      <c r="X270" s="225"/>
      <c r="Y270" s="225">
        <f>T270</f>
        <v>0</v>
      </c>
      <c r="Z270" s="225">
        <f>IF(T270=0,0,Y268-0.01)</f>
        <v>0</v>
      </c>
      <c r="AA270" s="225">
        <f>AA269</f>
        <v>0</v>
      </c>
      <c r="AC270" s="137"/>
      <c r="AD270" s="137"/>
      <c r="BE270" s="144"/>
      <c r="BF270" s="144"/>
    </row>
    <row r="271" spans="2:58" ht="12">
      <c r="B271" s="36"/>
      <c r="C271" s="36"/>
      <c r="H271" s="36"/>
      <c r="S271" s="144">
        <v>100</v>
      </c>
      <c r="U271" s="240">
        <f>U270</f>
        <v>0</v>
      </c>
      <c r="V271" s="225">
        <f>V268</f>
        <v>0</v>
      </c>
      <c r="W271" s="244"/>
      <c r="X271" s="225"/>
      <c r="Y271" s="225"/>
      <c r="Z271" s="225">
        <f>Z270</f>
        <v>0</v>
      </c>
      <c r="AA271" s="225">
        <f>AA268</f>
        <v>0</v>
      </c>
      <c r="AC271" s="137"/>
      <c r="AD271" s="137"/>
      <c r="BE271" s="144"/>
      <c r="BF271" s="144"/>
    </row>
    <row r="272" spans="2:58" ht="12">
      <c r="B272" s="36"/>
      <c r="C272" s="36"/>
      <c r="H272" s="36"/>
      <c r="U272" s="240">
        <f>U268</f>
        <v>0</v>
      </c>
      <c r="V272" s="225">
        <f>V268</f>
        <v>0</v>
      </c>
      <c r="W272" s="244"/>
      <c r="X272" s="225"/>
      <c r="Y272" s="225"/>
      <c r="Z272" s="261">
        <f>Z268</f>
        <v>0</v>
      </c>
      <c r="AA272" s="261">
        <f>AA268</f>
        <v>0</v>
      </c>
      <c r="AC272" s="137"/>
      <c r="AD272" s="137"/>
      <c r="BE272" s="144"/>
      <c r="BF272" s="144"/>
    </row>
    <row r="273" spans="2:58" ht="12">
      <c r="B273" s="36"/>
      <c r="C273" s="36"/>
      <c r="H273" s="36"/>
      <c r="U273" s="240"/>
      <c r="V273" s="225"/>
      <c r="W273" s="244"/>
      <c r="X273" s="225"/>
      <c r="Z273" s="240"/>
      <c r="AA273" s="244"/>
      <c r="AC273" s="137"/>
      <c r="AD273" s="137"/>
      <c r="BE273" s="144"/>
      <c r="BF273" s="144"/>
    </row>
    <row r="274" spans="2:58" ht="12">
      <c r="B274" s="36"/>
      <c r="C274" s="36"/>
      <c r="H274" s="36"/>
      <c r="S274" s="144">
        <v>101</v>
      </c>
      <c r="T274" s="137">
        <f>INDEX(coa,INT((S274-1)/4)+1,2)</f>
        <v>0</v>
      </c>
      <c r="U274" s="240">
        <f>IF(T276=0,0,T274+0.01)</f>
        <v>0</v>
      </c>
      <c r="V274" s="225">
        <f>IF(T276=0,0,T275+0.01)</f>
        <v>0</v>
      </c>
      <c r="W274" s="244"/>
      <c r="X274" s="225"/>
      <c r="Y274" s="225">
        <f>INDEX(coag,INT((S274-1)/4)+1,1)</f>
        <v>0</v>
      </c>
      <c r="Z274" s="225">
        <f>IF(T276=0,0,Y274+0.01)</f>
        <v>0</v>
      </c>
      <c r="AA274" s="225">
        <f>IF(T276=0,0,Y275+0.01)</f>
        <v>0</v>
      </c>
      <c r="AC274" s="137"/>
      <c r="AD274" s="137"/>
      <c r="BE274" s="144"/>
      <c r="BF274" s="144"/>
    </row>
    <row r="275" spans="2:58" ht="12">
      <c r="B275" s="36"/>
      <c r="C275" s="36"/>
      <c r="H275" s="36"/>
      <c r="S275" s="144">
        <v>102</v>
      </c>
      <c r="T275" s="137">
        <f>INDEX(coa,INT((S274-1)/4)+1,3)</f>
        <v>0</v>
      </c>
      <c r="U275" s="240">
        <f>U274</f>
        <v>0</v>
      </c>
      <c r="V275" s="225">
        <f>IF(T276=0,0,T275-0.01)</f>
        <v>0</v>
      </c>
      <c r="W275" s="244"/>
      <c r="X275" s="225"/>
      <c r="Y275" s="225">
        <f>INDEX(coag,INT((S274-1)/4)+1,2)</f>
        <v>0</v>
      </c>
      <c r="Z275" s="225">
        <f>Z274</f>
        <v>0</v>
      </c>
      <c r="AA275" s="225">
        <f>IF(T276=0,0,Y275-0.01)</f>
        <v>0</v>
      </c>
      <c r="AC275" s="137"/>
      <c r="AD275" s="137"/>
      <c r="BE275" s="144"/>
      <c r="BF275" s="144"/>
    </row>
    <row r="276" spans="2:58" ht="12">
      <c r="B276" s="36"/>
      <c r="C276" s="36"/>
      <c r="H276" s="36"/>
      <c r="S276" s="144">
        <v>103</v>
      </c>
      <c r="T276" s="225">
        <f>INDEX(coa,INT((S274-1)/4)+1,1)/2000</f>
        <v>0</v>
      </c>
      <c r="U276" s="240">
        <f>IF(T276=0,0,T274-0.01)</f>
        <v>0</v>
      </c>
      <c r="V276" s="225">
        <f>V275</f>
        <v>0</v>
      </c>
      <c r="W276" s="244"/>
      <c r="X276" s="225"/>
      <c r="Y276" s="225">
        <f>T276</f>
        <v>0</v>
      </c>
      <c r="Z276" s="225">
        <f>IF(T276=0,0,Y274-0.01)</f>
        <v>0</v>
      </c>
      <c r="AA276" s="225">
        <f>AA275</f>
        <v>0</v>
      </c>
      <c r="AC276" s="137"/>
      <c r="AD276" s="137"/>
      <c r="BE276" s="144"/>
      <c r="BF276" s="144"/>
    </row>
    <row r="277" spans="2:58" ht="12">
      <c r="B277" s="36"/>
      <c r="C277" s="36"/>
      <c r="H277" s="36"/>
      <c r="S277" s="144">
        <v>104</v>
      </c>
      <c r="U277" s="240">
        <f>U276</f>
        <v>0</v>
      </c>
      <c r="V277" s="225">
        <f>V274</f>
        <v>0</v>
      </c>
      <c r="W277" s="244"/>
      <c r="X277" s="225"/>
      <c r="Y277" s="225"/>
      <c r="Z277" s="225">
        <f>Z276</f>
        <v>0</v>
      </c>
      <c r="AA277" s="225">
        <f>AA274</f>
        <v>0</v>
      </c>
      <c r="AC277" s="137"/>
      <c r="AD277" s="137"/>
      <c r="BE277" s="144"/>
      <c r="BF277" s="144"/>
    </row>
    <row r="278" spans="2:58" ht="12">
      <c r="B278" s="36"/>
      <c r="C278" s="36"/>
      <c r="H278" s="36"/>
      <c r="U278" s="240">
        <f>U274</f>
        <v>0</v>
      </c>
      <c r="V278" s="225">
        <f>V274</f>
        <v>0</v>
      </c>
      <c r="W278" s="244"/>
      <c r="X278" s="225"/>
      <c r="Y278" s="225"/>
      <c r="Z278" s="261">
        <f>Z274</f>
        <v>0</v>
      </c>
      <c r="AA278" s="261">
        <f>AA274</f>
        <v>0</v>
      </c>
      <c r="AC278" s="137"/>
      <c r="AD278" s="137"/>
      <c r="BE278" s="144"/>
      <c r="BF278" s="144"/>
    </row>
    <row r="279" spans="2:58" ht="12">
      <c r="B279" s="36"/>
      <c r="C279" s="36"/>
      <c r="H279" s="36"/>
      <c r="U279" s="240"/>
      <c r="V279" s="225"/>
      <c r="W279" s="244"/>
      <c r="X279" s="225"/>
      <c r="Z279" s="240"/>
      <c r="AA279" s="244"/>
      <c r="AC279" s="137"/>
      <c r="AD279" s="137"/>
      <c r="BE279" s="144"/>
      <c r="BF279" s="144"/>
    </row>
    <row r="280" spans="2:58" ht="12">
      <c r="B280" s="36"/>
      <c r="C280" s="36"/>
      <c r="H280" s="36"/>
      <c r="S280" s="144">
        <v>105</v>
      </c>
      <c r="T280" s="137">
        <f>INDEX(coa,INT((S280-1)/4)+1,2)</f>
        <v>0</v>
      </c>
      <c r="U280" s="240">
        <f>IF(T282=0,0,T280+0.01)</f>
        <v>0</v>
      </c>
      <c r="V280" s="225">
        <f>IF(T282=0,0,T281+0.01)</f>
        <v>0</v>
      </c>
      <c r="W280" s="244"/>
      <c r="X280" s="225"/>
      <c r="Y280" s="225">
        <f>INDEX(coag,INT((S280-1)/4)+1,1)</f>
        <v>0</v>
      </c>
      <c r="Z280" s="225">
        <f>IF(T282=0,0,Y280+0.01)</f>
        <v>0</v>
      </c>
      <c r="AA280" s="225">
        <f>IF(T282=0,0,Y281+0.01)</f>
        <v>0</v>
      </c>
      <c r="AC280" s="137"/>
      <c r="AD280" s="137"/>
      <c r="BE280" s="144"/>
      <c r="BF280" s="144"/>
    </row>
    <row r="281" spans="2:58" ht="12">
      <c r="B281" s="36"/>
      <c r="C281" s="36"/>
      <c r="H281" s="36"/>
      <c r="S281" s="144">
        <v>106</v>
      </c>
      <c r="T281" s="137">
        <f>INDEX(coa,INT((S280-1)/4)+1,3)</f>
        <v>0</v>
      </c>
      <c r="U281" s="240">
        <f>U280</f>
        <v>0</v>
      </c>
      <c r="V281" s="225">
        <f>IF(T282=0,0,T281-0.01)</f>
        <v>0</v>
      </c>
      <c r="W281" s="244"/>
      <c r="X281" s="225"/>
      <c r="Y281" s="225">
        <f>INDEX(coag,INT((S280-1)/4)+1,2)</f>
        <v>0</v>
      </c>
      <c r="Z281" s="225">
        <f>Z280</f>
        <v>0</v>
      </c>
      <c r="AA281" s="225">
        <f>IF(T282=0,0,Y281-0.01)</f>
        <v>0</v>
      </c>
      <c r="AC281" s="137"/>
      <c r="AD281" s="137"/>
      <c r="BE281" s="144"/>
      <c r="BF281" s="144"/>
    </row>
    <row r="282" spans="2:58" ht="12">
      <c r="B282" s="36"/>
      <c r="C282" s="36"/>
      <c r="H282" s="36"/>
      <c r="S282" s="144">
        <v>107</v>
      </c>
      <c r="T282" s="225">
        <f>INDEX(coa,INT((S280-1)/4)+1,1)/2000</f>
        <v>0</v>
      </c>
      <c r="U282" s="240">
        <f>IF(T282=0,0,T280-0.01)</f>
        <v>0</v>
      </c>
      <c r="V282" s="225">
        <f>V281</f>
        <v>0</v>
      </c>
      <c r="W282" s="244"/>
      <c r="X282" s="225"/>
      <c r="Y282" s="225">
        <f>T282</f>
        <v>0</v>
      </c>
      <c r="Z282" s="225">
        <f>IF(T282=0,0,Y280-0.01)</f>
        <v>0</v>
      </c>
      <c r="AA282" s="225">
        <f>AA281</f>
        <v>0</v>
      </c>
      <c r="AC282" s="137"/>
      <c r="AD282" s="137"/>
      <c r="BE282" s="144"/>
      <c r="BF282" s="144"/>
    </row>
    <row r="283" spans="2:58" ht="12">
      <c r="B283" s="36"/>
      <c r="C283" s="36"/>
      <c r="H283" s="36"/>
      <c r="S283" s="144">
        <v>108</v>
      </c>
      <c r="U283" s="240">
        <f>U282</f>
        <v>0</v>
      </c>
      <c r="V283" s="225">
        <f>V280</f>
        <v>0</v>
      </c>
      <c r="W283" s="244"/>
      <c r="X283" s="225"/>
      <c r="Y283" s="225"/>
      <c r="Z283" s="225">
        <f>Z282</f>
        <v>0</v>
      </c>
      <c r="AA283" s="225">
        <f>AA280</f>
        <v>0</v>
      </c>
      <c r="AC283" s="137"/>
      <c r="AD283" s="137"/>
      <c r="BE283" s="144"/>
      <c r="BF283" s="144"/>
    </row>
    <row r="284" spans="2:58" ht="12">
      <c r="B284" s="36"/>
      <c r="C284" s="36"/>
      <c r="H284" s="36"/>
      <c r="U284" s="240">
        <f>U280</f>
        <v>0</v>
      </c>
      <c r="V284" s="225">
        <f>V280</f>
        <v>0</v>
      </c>
      <c r="W284" s="244"/>
      <c r="X284" s="225"/>
      <c r="Y284" s="225"/>
      <c r="Z284" s="261">
        <f>Z280</f>
        <v>0</v>
      </c>
      <c r="AA284" s="261">
        <f>AA280</f>
        <v>0</v>
      </c>
      <c r="AC284" s="137"/>
      <c r="AD284" s="137"/>
      <c r="BE284" s="144"/>
      <c r="BF284" s="144"/>
    </row>
    <row r="285" spans="2:58" ht="12">
      <c r="B285" s="36"/>
      <c r="C285" s="36"/>
      <c r="H285" s="36"/>
      <c r="U285" s="240"/>
      <c r="V285" s="225"/>
      <c r="W285" s="244"/>
      <c r="X285" s="225"/>
      <c r="Z285" s="240"/>
      <c r="AA285" s="244"/>
      <c r="AC285" s="137"/>
      <c r="AD285" s="137"/>
      <c r="BE285" s="144"/>
      <c r="BF285" s="144"/>
    </row>
    <row r="286" spans="2:58" ht="12">
      <c r="B286" s="36"/>
      <c r="C286" s="36"/>
      <c r="H286" s="36"/>
      <c r="S286" s="144">
        <v>109</v>
      </c>
      <c r="T286" s="137">
        <f>INDEX(coa,INT((S286-1)/4)+1,2)</f>
        <v>0</v>
      </c>
      <c r="U286" s="240">
        <f>IF(T288=0,0,T286+0.01)</f>
        <v>0</v>
      </c>
      <c r="V286" s="225">
        <f>IF(T288=0,0,T287+0.01)</f>
        <v>0</v>
      </c>
      <c r="W286" s="244"/>
      <c r="X286" s="225"/>
      <c r="Y286" s="225">
        <f>INDEX(coag,INT((S286-1)/4)+1,1)</f>
        <v>0</v>
      </c>
      <c r="Z286" s="225">
        <f>IF(T288=0,0,Y286+0.01)</f>
        <v>0</v>
      </c>
      <c r="AA286" s="225">
        <f>IF(T288=0,0,Y287+0.01)</f>
        <v>0</v>
      </c>
      <c r="AC286" s="137"/>
      <c r="AD286" s="137"/>
      <c r="BE286" s="144"/>
      <c r="BF286" s="144"/>
    </row>
    <row r="287" spans="2:58" ht="12">
      <c r="B287" s="36"/>
      <c r="C287" s="36"/>
      <c r="H287" s="36"/>
      <c r="S287" s="144">
        <v>110</v>
      </c>
      <c r="T287" s="137">
        <f>INDEX(coa,INT((S286-1)/4)+1,3)</f>
        <v>0</v>
      </c>
      <c r="U287" s="240">
        <f>U286</f>
        <v>0</v>
      </c>
      <c r="V287" s="225">
        <f>IF(T288=0,0,T287-0.01)</f>
        <v>0</v>
      </c>
      <c r="W287" s="244"/>
      <c r="X287" s="225"/>
      <c r="Y287" s="225">
        <f>INDEX(coag,INT((S286-1)/4)+1,2)</f>
        <v>0</v>
      </c>
      <c r="Z287" s="225">
        <f>Z286</f>
        <v>0</v>
      </c>
      <c r="AA287" s="225">
        <f>IF(T288=0,0,Y287-0.01)</f>
        <v>0</v>
      </c>
      <c r="AC287" s="137"/>
      <c r="AD287" s="137"/>
      <c r="BE287" s="144"/>
      <c r="BF287" s="144"/>
    </row>
    <row r="288" spans="2:58" ht="12">
      <c r="B288" s="36"/>
      <c r="C288" s="36"/>
      <c r="H288" s="36"/>
      <c r="S288" s="144">
        <v>111</v>
      </c>
      <c r="T288" s="225">
        <f>INDEX(coa,INT((S286-1)/4)+1,1)/2000</f>
        <v>0</v>
      </c>
      <c r="U288" s="240">
        <f>IF(T288=0,0,T286-0.01)</f>
        <v>0</v>
      </c>
      <c r="V288" s="225">
        <f>V287</f>
        <v>0</v>
      </c>
      <c r="W288" s="244"/>
      <c r="X288" s="225"/>
      <c r="Y288" s="225">
        <f>T288</f>
        <v>0</v>
      </c>
      <c r="Z288" s="225">
        <f>IF(T288=0,0,Y286-0.01)</f>
        <v>0</v>
      </c>
      <c r="AA288" s="225">
        <f>AA287</f>
        <v>0</v>
      </c>
      <c r="AC288" s="137"/>
      <c r="AD288" s="137"/>
      <c r="BE288" s="144"/>
      <c r="BF288" s="144"/>
    </row>
    <row r="289" spans="2:58" ht="12">
      <c r="B289" s="36"/>
      <c r="C289" s="36"/>
      <c r="H289" s="36"/>
      <c r="S289" s="144">
        <v>112</v>
      </c>
      <c r="U289" s="240">
        <f>U288</f>
        <v>0</v>
      </c>
      <c r="V289" s="225">
        <f>V286</f>
        <v>0</v>
      </c>
      <c r="W289" s="244"/>
      <c r="X289" s="225"/>
      <c r="Y289" s="225"/>
      <c r="Z289" s="225">
        <f>Z288</f>
        <v>0</v>
      </c>
      <c r="AA289" s="225">
        <f>AA286</f>
        <v>0</v>
      </c>
      <c r="AC289" s="137"/>
      <c r="AD289" s="137"/>
      <c r="BE289" s="144"/>
      <c r="BF289" s="144"/>
    </row>
    <row r="290" spans="2:58" ht="12">
      <c r="B290" s="36"/>
      <c r="C290" s="36"/>
      <c r="H290" s="36"/>
      <c r="U290" s="240">
        <f>U286</f>
        <v>0</v>
      </c>
      <c r="V290" s="225">
        <f>V286</f>
        <v>0</v>
      </c>
      <c r="W290" s="244"/>
      <c r="X290" s="225"/>
      <c r="Y290" s="225"/>
      <c r="Z290" s="261">
        <f>Z286</f>
        <v>0</v>
      </c>
      <c r="AA290" s="261">
        <f>AA286</f>
        <v>0</v>
      </c>
      <c r="AC290" s="137"/>
      <c r="AD290" s="137"/>
      <c r="BE290" s="144"/>
      <c r="BF290" s="144"/>
    </row>
    <row r="291" spans="2:58" ht="12">
      <c r="B291" s="36"/>
      <c r="C291" s="36"/>
      <c r="H291" s="36"/>
      <c r="U291" s="240"/>
      <c r="V291" s="225"/>
      <c r="W291" s="244"/>
      <c r="X291" s="225"/>
      <c r="Z291" s="240"/>
      <c r="AA291" s="244"/>
      <c r="AC291" s="137"/>
      <c r="AD291" s="137"/>
      <c r="BE291" s="144"/>
      <c r="BF291" s="144"/>
    </row>
    <row r="292" spans="2:58" ht="12">
      <c r="B292" s="36"/>
      <c r="C292" s="36"/>
      <c r="H292" s="36"/>
      <c r="S292" s="144">
        <v>113</v>
      </c>
      <c r="T292" s="137">
        <f>INDEX(coa,INT((S292-1)/4)+1,2)</f>
        <v>0</v>
      </c>
      <c r="U292" s="240">
        <f>IF(T294=0,0,T292+0.01)</f>
        <v>0</v>
      </c>
      <c r="V292" s="225">
        <f>IF(T294=0,0,T293+0.01)</f>
        <v>0</v>
      </c>
      <c r="W292" s="244"/>
      <c r="X292" s="225"/>
      <c r="Y292" s="225">
        <f>INDEX(coag,INT((S292-1)/4)+1,1)</f>
        <v>0</v>
      </c>
      <c r="Z292" s="225">
        <f>IF(T294=0,0,Y292+0.01)</f>
        <v>0</v>
      </c>
      <c r="AA292" s="225">
        <f>IF(T294=0,0,Y293+0.01)</f>
        <v>0</v>
      </c>
      <c r="AC292" s="137"/>
      <c r="AD292" s="137"/>
      <c r="BE292" s="144"/>
      <c r="BF292" s="144"/>
    </row>
    <row r="293" spans="2:58" ht="12">
      <c r="B293" s="36"/>
      <c r="C293" s="36"/>
      <c r="H293" s="36"/>
      <c r="S293" s="144">
        <v>114</v>
      </c>
      <c r="T293" s="137">
        <f>INDEX(coa,INT((S292-1)/4)+1,3)</f>
        <v>0</v>
      </c>
      <c r="U293" s="240">
        <f>U292</f>
        <v>0</v>
      </c>
      <c r="V293" s="225">
        <f>IF(T294=0,0,T293-0.01)</f>
        <v>0</v>
      </c>
      <c r="W293" s="244"/>
      <c r="X293" s="225"/>
      <c r="Y293" s="225">
        <f>INDEX(coag,INT((S292-1)/4)+1,2)</f>
        <v>0</v>
      </c>
      <c r="Z293" s="225">
        <f>Z292</f>
        <v>0</v>
      </c>
      <c r="AA293" s="225">
        <f>IF(T294=0,0,Y293-0.01)</f>
        <v>0</v>
      </c>
      <c r="AC293" s="137"/>
      <c r="AD293" s="137"/>
      <c r="BE293" s="144"/>
      <c r="BF293" s="144"/>
    </row>
    <row r="294" spans="2:58" ht="12">
      <c r="B294" s="36"/>
      <c r="C294" s="36"/>
      <c r="H294" s="36"/>
      <c r="S294" s="144">
        <v>115</v>
      </c>
      <c r="T294" s="225">
        <f>INDEX(coa,INT((S292-1)/4)+1,1)/2000</f>
        <v>0</v>
      </c>
      <c r="U294" s="240">
        <f>IF(T294=0,0,T292-0.01)</f>
        <v>0</v>
      </c>
      <c r="V294" s="225">
        <f>V293</f>
        <v>0</v>
      </c>
      <c r="W294" s="244"/>
      <c r="X294" s="225"/>
      <c r="Y294" s="225">
        <f>T294</f>
        <v>0</v>
      </c>
      <c r="Z294" s="225">
        <f>IF(T294=0,0,Y292-0.01)</f>
        <v>0</v>
      </c>
      <c r="AA294" s="225">
        <f>AA293</f>
        <v>0</v>
      </c>
      <c r="AC294" s="137"/>
      <c r="AD294" s="137"/>
      <c r="BE294" s="144"/>
      <c r="BF294" s="144"/>
    </row>
    <row r="295" spans="2:58" ht="12">
      <c r="B295" s="36"/>
      <c r="C295" s="36"/>
      <c r="H295" s="36"/>
      <c r="S295" s="144">
        <v>116</v>
      </c>
      <c r="U295" s="240">
        <f>U294</f>
        <v>0</v>
      </c>
      <c r="V295" s="225">
        <f>V292</f>
        <v>0</v>
      </c>
      <c r="W295" s="244"/>
      <c r="X295" s="225"/>
      <c r="Y295" s="225"/>
      <c r="Z295" s="225">
        <f>Z294</f>
        <v>0</v>
      </c>
      <c r="AA295" s="225">
        <f>AA292</f>
        <v>0</v>
      </c>
      <c r="AC295" s="137"/>
      <c r="AD295" s="137"/>
      <c r="BE295" s="144"/>
      <c r="BF295" s="144"/>
    </row>
    <row r="296" spans="2:58" ht="12">
      <c r="B296" s="36"/>
      <c r="C296" s="36"/>
      <c r="H296" s="36"/>
      <c r="U296" s="240">
        <f>U292</f>
        <v>0</v>
      </c>
      <c r="V296" s="225">
        <f>V292</f>
        <v>0</v>
      </c>
      <c r="W296" s="244"/>
      <c r="X296" s="225"/>
      <c r="Y296" s="225"/>
      <c r="Z296" s="261">
        <f>Z292</f>
        <v>0</v>
      </c>
      <c r="AA296" s="261">
        <f>AA292</f>
        <v>0</v>
      </c>
      <c r="AC296" s="137"/>
      <c r="AD296" s="137"/>
      <c r="BE296" s="144"/>
      <c r="BF296" s="144"/>
    </row>
    <row r="297" spans="2:58" ht="12">
      <c r="B297" s="36"/>
      <c r="C297" s="36"/>
      <c r="H297" s="36"/>
      <c r="U297" s="240"/>
      <c r="V297" s="225"/>
      <c r="W297" s="244"/>
      <c r="X297" s="225"/>
      <c r="Z297" s="240"/>
      <c r="AA297" s="244"/>
      <c r="AC297" s="137"/>
      <c r="AD297" s="137"/>
      <c r="BE297" s="144"/>
      <c r="BF297" s="144"/>
    </row>
    <row r="298" spans="2:58" ht="12">
      <c r="B298" s="36"/>
      <c r="C298" s="36"/>
      <c r="H298" s="36"/>
      <c r="S298" s="144">
        <v>117</v>
      </c>
      <c r="T298" s="137">
        <f>INDEX(coa,INT((S298-1)/4)+1,2)</f>
        <v>0</v>
      </c>
      <c r="U298" s="240">
        <f>IF(T300=0,0,T298+0.01)</f>
        <v>0</v>
      </c>
      <c r="V298" s="225">
        <f>IF(T300=0,0,T299+0.01)</f>
        <v>0</v>
      </c>
      <c r="W298" s="244"/>
      <c r="X298" s="225"/>
      <c r="Y298" s="225">
        <f>INDEX(coag,INT((S298-1)/4)+1,1)</f>
        <v>0</v>
      </c>
      <c r="Z298" s="225">
        <f>IF(T300=0,0,Y298+0.01)</f>
        <v>0</v>
      </c>
      <c r="AA298" s="225">
        <f>IF(T300=0,0,Y299+0.01)</f>
        <v>0</v>
      </c>
      <c r="AC298" s="137"/>
      <c r="AD298" s="137"/>
      <c r="BE298" s="144"/>
      <c r="BF298" s="144"/>
    </row>
    <row r="299" spans="2:58" ht="12">
      <c r="B299" s="36"/>
      <c r="C299" s="36"/>
      <c r="H299" s="36"/>
      <c r="S299" s="144">
        <v>118</v>
      </c>
      <c r="T299" s="137">
        <f>INDEX(coa,INT((S298-1)/4)+1,3)</f>
        <v>0</v>
      </c>
      <c r="U299" s="240">
        <f>U298</f>
        <v>0</v>
      </c>
      <c r="V299" s="225">
        <f>IF(T300=0,0,T299-0.01)</f>
        <v>0</v>
      </c>
      <c r="W299" s="244"/>
      <c r="X299" s="225"/>
      <c r="Y299" s="225">
        <f>INDEX(coag,INT((S298-1)/4)+1,2)</f>
        <v>0</v>
      </c>
      <c r="Z299" s="225">
        <f>Z298</f>
        <v>0</v>
      </c>
      <c r="AA299" s="225">
        <f>IF(T300=0,0,Y299-0.01)</f>
        <v>0</v>
      </c>
      <c r="AC299" s="137"/>
      <c r="AD299" s="137"/>
      <c r="BE299" s="144"/>
      <c r="BF299" s="144"/>
    </row>
    <row r="300" spans="2:58" ht="12">
      <c r="B300" s="36"/>
      <c r="C300" s="36"/>
      <c r="H300" s="36"/>
      <c r="S300" s="144">
        <v>119</v>
      </c>
      <c r="T300" s="225">
        <f>INDEX(coa,INT((S298-1)/4)+1,1)/2000</f>
        <v>0</v>
      </c>
      <c r="U300" s="240">
        <f>IF(T300=0,0,T298-0.01)</f>
        <v>0</v>
      </c>
      <c r="V300" s="225">
        <f>V299</f>
        <v>0</v>
      </c>
      <c r="W300" s="244"/>
      <c r="X300" s="225"/>
      <c r="Y300" s="225">
        <f>T300</f>
        <v>0</v>
      </c>
      <c r="Z300" s="225">
        <f>IF(T300=0,0,Y298-0.01)</f>
        <v>0</v>
      </c>
      <c r="AA300" s="225">
        <f>AA299</f>
        <v>0</v>
      </c>
      <c r="AC300" s="137"/>
      <c r="AD300" s="137"/>
      <c r="BE300" s="144"/>
      <c r="BF300" s="144"/>
    </row>
    <row r="301" spans="2:58" ht="12">
      <c r="B301" s="36"/>
      <c r="C301" s="36"/>
      <c r="H301" s="36"/>
      <c r="S301" s="144">
        <v>120</v>
      </c>
      <c r="U301" s="240">
        <f>U300</f>
        <v>0</v>
      </c>
      <c r="V301" s="225">
        <f>V298</f>
        <v>0</v>
      </c>
      <c r="W301" s="244"/>
      <c r="X301" s="225"/>
      <c r="Y301" s="225"/>
      <c r="Z301" s="225">
        <f>Z300</f>
        <v>0</v>
      </c>
      <c r="AA301" s="225">
        <f>AA298</f>
        <v>0</v>
      </c>
      <c r="AC301" s="137"/>
      <c r="AD301" s="137"/>
      <c r="BE301" s="144"/>
      <c r="BF301" s="144"/>
    </row>
    <row r="302" spans="2:58" ht="12">
      <c r="B302" s="36"/>
      <c r="C302" s="36"/>
      <c r="H302" s="36"/>
      <c r="U302" s="240">
        <f>U298</f>
        <v>0</v>
      </c>
      <c r="V302" s="225">
        <f>V298</f>
        <v>0</v>
      </c>
      <c r="W302" s="244"/>
      <c r="X302" s="225"/>
      <c r="Y302" s="225"/>
      <c r="Z302" s="261">
        <f>Z298</f>
        <v>0</v>
      </c>
      <c r="AA302" s="261">
        <f>AA298</f>
        <v>0</v>
      </c>
      <c r="AC302" s="137"/>
      <c r="AD302" s="137"/>
      <c r="BE302" s="144"/>
      <c r="BF302" s="144"/>
    </row>
    <row r="303" spans="2:58" ht="12">
      <c r="B303" s="36"/>
      <c r="C303" s="36"/>
      <c r="H303" s="36"/>
      <c r="U303" s="240"/>
      <c r="V303" s="225"/>
      <c r="W303" s="244"/>
      <c r="X303" s="225"/>
      <c r="Z303" s="240"/>
      <c r="AA303" s="244"/>
      <c r="AC303" s="137"/>
      <c r="AD303" s="137"/>
      <c r="BE303" s="144"/>
      <c r="BF303" s="144"/>
    </row>
    <row r="304" spans="2:58" ht="12">
      <c r="B304" s="36"/>
      <c r="C304" s="36"/>
      <c r="H304" s="36"/>
      <c r="S304" s="144">
        <v>121</v>
      </c>
      <c r="T304" s="137">
        <f>INDEX(coa,INT((S304-1)/4)+1,2)</f>
        <v>0</v>
      </c>
      <c r="U304" s="240">
        <f>IF(T306=0,0,T304+0.01)</f>
        <v>0</v>
      </c>
      <c r="V304" s="225">
        <f>IF(T306=0,0,T305+0.01)</f>
        <v>0</v>
      </c>
      <c r="W304" s="244"/>
      <c r="X304" s="225"/>
      <c r="Y304" s="225">
        <f>INDEX(coag,INT((S304-1)/4)+1,1)</f>
        <v>0</v>
      </c>
      <c r="Z304" s="225">
        <f>IF(T306=0,0,Y304+0.01)</f>
        <v>0</v>
      </c>
      <c r="AA304" s="225">
        <f>IF(T306=0,0,Y305+0.01)</f>
        <v>0</v>
      </c>
      <c r="AC304" s="137"/>
      <c r="AD304" s="137"/>
      <c r="BE304" s="144"/>
      <c r="BF304" s="144"/>
    </row>
    <row r="305" spans="2:58" ht="12">
      <c r="B305" s="36"/>
      <c r="C305" s="36"/>
      <c r="H305" s="36"/>
      <c r="S305" s="144">
        <v>122</v>
      </c>
      <c r="T305" s="137">
        <f>INDEX(coa,INT((S304-1)/4)+1,3)</f>
        <v>0</v>
      </c>
      <c r="U305" s="240">
        <f>U304</f>
        <v>0</v>
      </c>
      <c r="V305" s="225">
        <f>IF(T306=0,0,T305-0.01)</f>
        <v>0</v>
      </c>
      <c r="W305" s="244"/>
      <c r="X305" s="225"/>
      <c r="Y305" s="225">
        <f>INDEX(coag,INT((S304-1)/4)+1,2)</f>
        <v>0</v>
      </c>
      <c r="Z305" s="225">
        <f>Z304</f>
        <v>0</v>
      </c>
      <c r="AA305" s="225">
        <f>IF(T306=0,0,Y305-0.01)</f>
        <v>0</v>
      </c>
      <c r="AC305" s="137"/>
      <c r="AD305" s="137"/>
      <c r="BE305" s="144"/>
      <c r="BF305" s="144"/>
    </row>
    <row r="306" spans="2:58" ht="12">
      <c r="B306" s="36"/>
      <c r="C306" s="36"/>
      <c r="H306" s="36"/>
      <c r="S306" s="144">
        <v>123</v>
      </c>
      <c r="T306" s="225">
        <f>INDEX(coa,INT((S304-1)/4)+1,1)/2000</f>
        <v>0</v>
      </c>
      <c r="U306" s="240">
        <f>IF(T306=0,0,T304-0.01)</f>
        <v>0</v>
      </c>
      <c r="V306" s="225">
        <f>V305</f>
        <v>0</v>
      </c>
      <c r="W306" s="244"/>
      <c r="X306" s="225"/>
      <c r="Y306" s="225">
        <f>T306</f>
        <v>0</v>
      </c>
      <c r="Z306" s="225">
        <f>IF(T306=0,0,Y304-0.01)</f>
        <v>0</v>
      </c>
      <c r="AA306" s="225">
        <f>AA305</f>
        <v>0</v>
      </c>
      <c r="AC306" s="137"/>
      <c r="AD306" s="137"/>
      <c r="BE306" s="144"/>
      <c r="BF306" s="144"/>
    </row>
    <row r="307" spans="2:58" ht="12">
      <c r="B307" s="36"/>
      <c r="C307" s="36"/>
      <c r="H307" s="36"/>
      <c r="S307" s="144">
        <v>124</v>
      </c>
      <c r="U307" s="240">
        <f>U306</f>
        <v>0</v>
      </c>
      <c r="V307" s="225">
        <f>V304</f>
        <v>0</v>
      </c>
      <c r="W307" s="244"/>
      <c r="X307" s="225"/>
      <c r="Y307" s="225"/>
      <c r="Z307" s="225">
        <f>Z306</f>
        <v>0</v>
      </c>
      <c r="AA307" s="225">
        <f>AA304</f>
        <v>0</v>
      </c>
      <c r="AC307" s="137"/>
      <c r="AD307" s="137"/>
      <c r="BE307" s="144"/>
      <c r="BF307" s="144"/>
    </row>
    <row r="308" spans="2:58" ht="12">
      <c r="B308" s="36"/>
      <c r="C308" s="36"/>
      <c r="H308" s="36"/>
      <c r="U308" s="240">
        <f>U304</f>
        <v>0</v>
      </c>
      <c r="V308" s="225">
        <f>V304</f>
        <v>0</v>
      </c>
      <c r="W308" s="244"/>
      <c r="X308" s="225"/>
      <c r="Y308" s="225"/>
      <c r="Z308" s="261">
        <f>Z304</f>
        <v>0</v>
      </c>
      <c r="AA308" s="261">
        <f>AA304</f>
        <v>0</v>
      </c>
      <c r="AC308" s="137"/>
      <c r="AD308" s="137"/>
      <c r="BE308" s="144"/>
      <c r="BF308" s="144"/>
    </row>
    <row r="309" spans="2:58" ht="12">
      <c r="B309" s="36"/>
      <c r="C309" s="36"/>
      <c r="H309" s="36"/>
      <c r="U309" s="240"/>
      <c r="V309" s="225"/>
      <c r="W309" s="244"/>
      <c r="X309" s="225"/>
      <c r="Z309" s="240"/>
      <c r="AA309" s="244"/>
      <c r="AC309" s="137"/>
      <c r="AD309" s="137"/>
      <c r="BE309" s="144"/>
      <c r="BF309" s="144"/>
    </row>
    <row r="310" spans="2:58" ht="12">
      <c r="B310" s="36"/>
      <c r="C310" s="36"/>
      <c r="H310" s="36"/>
      <c r="S310" s="144">
        <v>125</v>
      </c>
      <c r="T310" s="137">
        <f>INDEX(coa,INT((S310-1)/4)+1,2)</f>
        <v>0</v>
      </c>
      <c r="U310" s="240">
        <f>IF(T312=0,0,T310+0.01)</f>
        <v>0</v>
      </c>
      <c r="V310" s="225">
        <f>IF(T312=0,0,T311+0.01)</f>
        <v>0</v>
      </c>
      <c r="W310" s="244"/>
      <c r="X310" s="225"/>
      <c r="Y310" s="225">
        <f>INDEX(coag,INT((S310-1)/4)+1,1)</f>
        <v>0</v>
      </c>
      <c r="Z310" s="225">
        <f>IF(T312=0,0,Y310+0.01)</f>
        <v>0</v>
      </c>
      <c r="AA310" s="225">
        <f>IF(T312=0,0,Y311+0.01)</f>
        <v>0</v>
      </c>
      <c r="AC310" s="137"/>
      <c r="AD310" s="137"/>
      <c r="BE310" s="144"/>
      <c r="BF310" s="144"/>
    </row>
    <row r="311" spans="2:58" ht="12">
      <c r="B311" s="36"/>
      <c r="C311" s="36"/>
      <c r="H311" s="36"/>
      <c r="S311" s="144">
        <v>126</v>
      </c>
      <c r="T311" s="137">
        <f>INDEX(coa,INT((S310-1)/4)+1,3)</f>
        <v>0</v>
      </c>
      <c r="U311" s="240">
        <f>U310</f>
        <v>0</v>
      </c>
      <c r="V311" s="225">
        <f>IF(T312=0,0,T311-0.01)</f>
        <v>0</v>
      </c>
      <c r="W311" s="244"/>
      <c r="X311" s="225"/>
      <c r="Y311" s="225">
        <f>INDEX(coag,INT((S310-1)/4)+1,2)</f>
        <v>0</v>
      </c>
      <c r="Z311" s="225">
        <f>Z310</f>
        <v>0</v>
      </c>
      <c r="AA311" s="225">
        <f>IF(T312=0,0,Y311-0.01)</f>
        <v>0</v>
      </c>
      <c r="AC311" s="137"/>
      <c r="AD311" s="137"/>
      <c r="BE311" s="144"/>
      <c r="BF311" s="144"/>
    </row>
    <row r="312" spans="2:58" ht="12">
      <c r="B312" s="36"/>
      <c r="C312" s="36"/>
      <c r="H312" s="36"/>
      <c r="S312" s="144">
        <v>127</v>
      </c>
      <c r="T312" s="225">
        <f>INDEX(coa,INT((S310-1)/4)+1,1)/2000</f>
        <v>0</v>
      </c>
      <c r="U312" s="240">
        <f>IF(T312=0,0,T310-0.01)</f>
        <v>0</v>
      </c>
      <c r="V312" s="225">
        <f>V311</f>
        <v>0</v>
      </c>
      <c r="W312" s="244"/>
      <c r="X312" s="225"/>
      <c r="Y312" s="225">
        <f>T312</f>
        <v>0</v>
      </c>
      <c r="Z312" s="225">
        <f>IF(T312=0,0,Y310-0.01)</f>
        <v>0</v>
      </c>
      <c r="AA312" s="225">
        <f>AA311</f>
        <v>0</v>
      </c>
      <c r="AC312" s="137"/>
      <c r="AD312" s="137"/>
      <c r="BE312" s="144"/>
      <c r="BF312" s="144"/>
    </row>
    <row r="313" spans="2:58" ht="12">
      <c r="B313" s="36"/>
      <c r="C313" s="36"/>
      <c r="H313" s="36"/>
      <c r="S313" s="144">
        <v>128</v>
      </c>
      <c r="U313" s="240">
        <f>U312</f>
        <v>0</v>
      </c>
      <c r="V313" s="225">
        <f>V310</f>
        <v>0</v>
      </c>
      <c r="W313" s="244"/>
      <c r="X313" s="225"/>
      <c r="Y313" s="225"/>
      <c r="Z313" s="225">
        <f>Z312</f>
        <v>0</v>
      </c>
      <c r="AA313" s="225">
        <f>AA310</f>
        <v>0</v>
      </c>
      <c r="AC313" s="137"/>
      <c r="AD313" s="137"/>
      <c r="BE313" s="144"/>
      <c r="BF313" s="144"/>
    </row>
    <row r="314" spans="2:58" ht="12">
      <c r="B314" s="36"/>
      <c r="C314" s="36"/>
      <c r="H314" s="36"/>
      <c r="U314" s="240">
        <f>U310</f>
        <v>0</v>
      </c>
      <c r="V314" s="225">
        <f>V310</f>
        <v>0</v>
      </c>
      <c r="W314" s="244"/>
      <c r="X314" s="225"/>
      <c r="Y314" s="225"/>
      <c r="Z314" s="261">
        <f>Z310</f>
        <v>0</v>
      </c>
      <c r="AA314" s="261">
        <f>AA310</f>
        <v>0</v>
      </c>
      <c r="AC314" s="137"/>
      <c r="AD314" s="137"/>
      <c r="BE314" s="144"/>
      <c r="BF314" s="144"/>
    </row>
    <row r="315" spans="2:58" ht="12">
      <c r="B315" s="36"/>
      <c r="C315" s="36"/>
      <c r="H315" s="36"/>
      <c r="U315" s="240"/>
      <c r="V315" s="225"/>
      <c r="W315" s="244"/>
      <c r="X315" s="225"/>
      <c r="Z315" s="240"/>
      <c r="AA315" s="244"/>
      <c r="AC315" s="137"/>
      <c r="AD315" s="137"/>
      <c r="BE315" s="144"/>
      <c r="BF315" s="144"/>
    </row>
    <row r="316" spans="2:58" ht="12">
      <c r="B316" s="36"/>
      <c r="C316" s="36"/>
      <c r="H316" s="36"/>
      <c r="U316" s="240"/>
      <c r="V316" s="225"/>
      <c r="W316" s="244"/>
      <c r="X316" s="225"/>
      <c r="Y316" s="225"/>
      <c r="Z316" s="261"/>
      <c r="AA316" s="261"/>
      <c r="AC316" s="137"/>
      <c r="AD316" s="137"/>
      <c r="BE316" s="144"/>
      <c r="BF316" s="144"/>
    </row>
    <row r="317" spans="2:58" ht="12">
      <c r="B317" s="36"/>
      <c r="C317" s="36"/>
      <c r="H317" s="36"/>
      <c r="S317" s="144" t="s">
        <v>40</v>
      </c>
      <c r="U317" s="240">
        <f>C34+0.01-xg*0</f>
        <v>2.7699999999999996</v>
      </c>
      <c r="V317" s="225">
        <f>C35+0.01-yg*0</f>
        <v>1.43</v>
      </c>
      <c r="W317" s="244"/>
      <c r="X317" s="225"/>
      <c r="Z317" s="240">
        <f>D34+0.01</f>
        <v>2.2699999999999996</v>
      </c>
      <c r="AA317" s="244">
        <f>D35+0.01</f>
        <v>0.83</v>
      </c>
      <c r="AC317" s="137"/>
      <c r="AD317" s="137"/>
      <c r="BE317" s="144"/>
      <c r="BF317" s="144"/>
    </row>
    <row r="318" spans="2:58" ht="12">
      <c r="B318" s="36"/>
      <c r="C318" s="36"/>
      <c r="H318" s="36"/>
      <c r="U318" s="240">
        <f>C34-0.01-xg*0</f>
        <v>2.75</v>
      </c>
      <c r="V318" s="225">
        <f>C35-0.01-yg*0</f>
        <v>1.41</v>
      </c>
      <c r="W318" s="244"/>
      <c r="X318" s="225"/>
      <c r="Z318" s="240">
        <f>D34-0.01</f>
        <v>2.25</v>
      </c>
      <c r="AA318" s="244">
        <f>D35-0.01</f>
        <v>0.8099999999999999</v>
      </c>
      <c r="AC318" s="137"/>
      <c r="AD318" s="137"/>
      <c r="BE318" s="144"/>
      <c r="BF318" s="144"/>
    </row>
    <row r="319" spans="2:58" ht="12">
      <c r="B319" s="36"/>
      <c r="C319" s="36"/>
      <c r="H319" s="36"/>
      <c r="U319" s="240"/>
      <c r="V319" s="225"/>
      <c r="W319" s="244"/>
      <c r="X319" s="225"/>
      <c r="Z319" s="240"/>
      <c r="AA319" s="244"/>
      <c r="AC319" s="137"/>
      <c r="AD319" s="137"/>
      <c r="BE319" s="144"/>
      <c r="BF319" s="144"/>
    </row>
    <row r="320" spans="2:58" ht="12">
      <c r="B320" s="36"/>
      <c r="C320" s="36"/>
      <c r="H320" s="36"/>
      <c r="S320" s="144" t="s">
        <v>41</v>
      </c>
      <c r="U320" s="240">
        <f>C34-0.01-xg*0</f>
        <v>2.75</v>
      </c>
      <c r="V320" s="225">
        <f>C35+0.01-yg*0</f>
        <v>1.43</v>
      </c>
      <c r="W320" s="244"/>
      <c r="X320" s="225"/>
      <c r="Z320" s="240">
        <f>D34-0.01</f>
        <v>2.25</v>
      </c>
      <c r="AA320" s="244">
        <f>D35+0.01</f>
        <v>0.83</v>
      </c>
      <c r="AC320" s="137"/>
      <c r="AD320" s="137"/>
      <c r="BE320" s="144"/>
      <c r="BF320" s="144"/>
    </row>
    <row r="321" spans="2:58" ht="12">
      <c r="B321" s="36"/>
      <c r="C321" s="36"/>
      <c r="H321" s="36"/>
      <c r="U321" s="240">
        <f>C34+0.01-xg*0</f>
        <v>2.7699999999999996</v>
      </c>
      <c r="V321" s="225">
        <f>C35-0.01-yg*0</f>
        <v>1.41</v>
      </c>
      <c r="W321" s="244"/>
      <c r="X321" s="225"/>
      <c r="Z321" s="240">
        <f>D34+0.01</f>
        <v>2.2699999999999996</v>
      </c>
      <c r="AA321" s="244">
        <f>D35-0.01</f>
        <v>0.8099999999999999</v>
      </c>
      <c r="AC321" s="137"/>
      <c r="AD321" s="137"/>
      <c r="BE321" s="144"/>
      <c r="BF321" s="144"/>
    </row>
    <row r="322" spans="2:58" ht="12">
      <c r="B322" s="36"/>
      <c r="C322" s="36"/>
      <c r="H322" s="36"/>
      <c r="U322" s="240"/>
      <c r="V322" s="225"/>
      <c r="W322" s="244"/>
      <c r="X322" s="225"/>
      <c r="Z322" s="240"/>
      <c r="AA322" s="244"/>
      <c r="AC322" s="137"/>
      <c r="AD322" s="137"/>
      <c r="BE322" s="144"/>
      <c r="BF322" s="144"/>
    </row>
    <row r="323" spans="2:58" ht="12">
      <c r="B323" s="36"/>
      <c r="C323" s="36"/>
      <c r="H323" s="36"/>
      <c r="S323" s="144" t="s">
        <v>24</v>
      </c>
      <c r="U323" s="133">
        <f>Z323*COS(phir)-AA323*SIN(phir)+xg</f>
        <v>0.6371375</v>
      </c>
      <c r="V323" s="137">
        <f>Z323*SIN(phir)+AA323*COS(phir)+yg</f>
        <v>1.2</v>
      </c>
      <c r="W323" s="135"/>
      <c r="Z323" s="240">
        <f>IF(AJ58="PT",AJ67,0)</f>
        <v>0.1371375</v>
      </c>
      <c r="AA323" s="244">
        <f>IF(AJ58="PT",AJ68,0)</f>
        <v>0.6</v>
      </c>
      <c r="AC323" s="137"/>
      <c r="AD323" s="137"/>
      <c r="BE323" s="144"/>
      <c r="BF323" s="144"/>
    </row>
    <row r="324" spans="2:58" ht="12">
      <c r="B324" s="36"/>
      <c r="C324" s="36"/>
      <c r="H324" s="36"/>
      <c r="U324" s="133">
        <f>Z324*COS(phir)-AA324*SIN(phir)+xg</f>
        <v>0.8733228900000001</v>
      </c>
      <c r="V324" s="137">
        <f>Z324*SIN(phir)+AA324*COS(phir)+yg</f>
        <v>0</v>
      </c>
      <c r="W324" s="135"/>
      <c r="Z324" s="240">
        <f>IF(AJ58="PT",AJ69,0)</f>
        <v>0.37332289</v>
      </c>
      <c r="AA324" s="244">
        <f>IF(AJ58="PT",AJ70,0)</f>
        <v>-0.6</v>
      </c>
      <c r="AC324" s="137"/>
      <c r="AD324" s="137"/>
      <c r="BE324" s="144"/>
      <c r="BF324" s="144"/>
    </row>
    <row r="325" spans="2:58" ht="12">
      <c r="B325" s="36"/>
      <c r="C325" s="36"/>
      <c r="H325" s="36"/>
      <c r="U325" s="240"/>
      <c r="V325" s="225"/>
      <c r="W325" s="244"/>
      <c r="X325" s="225"/>
      <c r="Z325" s="240"/>
      <c r="AA325" s="244"/>
      <c r="AC325" s="137"/>
      <c r="AD325" s="137"/>
      <c r="BE325" s="144"/>
      <c r="BF325" s="144"/>
    </row>
    <row r="326" spans="2:58" ht="12">
      <c r="B326" s="36"/>
      <c r="C326" s="36"/>
      <c r="H326" s="36"/>
      <c r="S326" s="144" t="s">
        <v>44</v>
      </c>
      <c r="U326" s="240">
        <f>xg</f>
        <v>0.5</v>
      </c>
      <c r="V326" s="225">
        <f>yg+0.02</f>
        <v>0.62</v>
      </c>
      <c r="W326" s="244"/>
      <c r="X326" s="225"/>
      <c r="Z326" s="240">
        <v>0</v>
      </c>
      <c r="AA326" s="244">
        <v>0.02</v>
      </c>
      <c r="AC326" s="137"/>
      <c r="AD326" s="137"/>
      <c r="BE326" s="144"/>
      <c r="BF326" s="144"/>
    </row>
    <row r="327" spans="2:58" ht="12">
      <c r="B327" s="36"/>
      <c r="C327" s="36"/>
      <c r="H327" s="36"/>
      <c r="U327" s="240">
        <f>xg</f>
        <v>0.5</v>
      </c>
      <c r="V327" s="225">
        <f>yg-0.02</f>
        <v>0.58</v>
      </c>
      <c r="W327" s="244"/>
      <c r="X327" s="225"/>
      <c r="Z327" s="240">
        <v>0</v>
      </c>
      <c r="AA327" s="244">
        <v>-0.02</v>
      </c>
      <c r="AC327" s="137"/>
      <c r="AD327" s="137"/>
      <c r="BE327" s="144"/>
      <c r="BF327" s="144"/>
    </row>
    <row r="328" spans="2:58" ht="12">
      <c r="B328" s="36"/>
      <c r="C328" s="36"/>
      <c r="H328" s="36"/>
      <c r="U328" s="240"/>
      <c r="V328" s="225"/>
      <c r="W328" s="244"/>
      <c r="X328" s="225"/>
      <c r="Z328" s="240"/>
      <c r="AA328" s="244"/>
      <c r="AC328" s="137"/>
      <c r="AD328" s="137"/>
      <c r="BE328" s="144"/>
      <c r="BF328" s="144"/>
    </row>
    <row r="329" spans="2:58" ht="12">
      <c r="B329" s="36"/>
      <c r="C329" s="36"/>
      <c r="H329" s="36"/>
      <c r="U329" s="240">
        <f>xg+0.02</f>
        <v>0.52</v>
      </c>
      <c r="V329" s="225">
        <f>yg</f>
        <v>0.6</v>
      </c>
      <c r="W329" s="244"/>
      <c r="X329" s="225"/>
      <c r="Z329" s="240">
        <v>0.02</v>
      </c>
      <c r="AA329" s="244">
        <v>0</v>
      </c>
      <c r="AC329" s="137"/>
      <c r="AD329" s="137"/>
      <c r="BE329" s="144"/>
      <c r="BF329" s="144"/>
    </row>
    <row r="330" spans="2:58" ht="12">
      <c r="B330" s="36"/>
      <c r="C330" s="36"/>
      <c r="H330" s="36"/>
      <c r="U330" s="240">
        <f>xg-0.02</f>
        <v>0.48</v>
      </c>
      <c r="V330" s="225">
        <f>yg</f>
        <v>0.6</v>
      </c>
      <c r="W330" s="244"/>
      <c r="X330" s="225"/>
      <c r="Z330" s="245">
        <v>-0.02</v>
      </c>
      <c r="AA330" s="262">
        <v>0</v>
      </c>
      <c r="AC330" s="137"/>
      <c r="AD330" s="137"/>
      <c r="BE330" s="144"/>
      <c r="BF330" s="144"/>
    </row>
    <row r="331" spans="2:58" ht="12">
      <c r="B331" s="36"/>
      <c r="C331" s="36"/>
      <c r="H331" s="36"/>
      <c r="R331" s="144" t="s">
        <v>285</v>
      </c>
      <c r="T331" s="225"/>
      <c r="U331" s="240"/>
      <c r="V331" s="225"/>
      <c r="W331" s="244"/>
      <c r="Z331" s="137"/>
      <c r="AA331" s="137"/>
      <c r="AB331" s="225"/>
      <c r="AC331" s="137"/>
      <c r="AD331" s="137"/>
      <c r="BE331" s="144"/>
      <c r="BF331" s="144"/>
    </row>
    <row r="332" spans="2:23" ht="12">
      <c r="B332" s="36"/>
      <c r="C332" s="36"/>
      <c r="H332" s="36"/>
      <c r="R332" s="318" t="s">
        <v>301</v>
      </c>
      <c r="S332" s="319"/>
      <c r="T332" s="171"/>
      <c r="U332" s="250">
        <f>S340</f>
        <v>0</v>
      </c>
      <c r="V332" s="314"/>
      <c r="W332" s="251">
        <f>S341</f>
        <v>0.6</v>
      </c>
    </row>
    <row r="333" spans="2:23" ht="12">
      <c r="B333" s="36"/>
      <c r="C333" s="36"/>
      <c r="H333" s="36"/>
      <c r="N333" s="35"/>
      <c r="O333" s="35"/>
      <c r="R333" s="320" t="s">
        <v>286</v>
      </c>
      <c r="S333" s="317">
        <f>MIN(BX,AX)</f>
        <v>0</v>
      </c>
      <c r="T333" s="144"/>
      <c r="U333" s="245">
        <f>S342</f>
        <v>1</v>
      </c>
      <c r="V333" s="315"/>
      <c r="W333" s="262">
        <f>S343</f>
        <v>0.6</v>
      </c>
    </row>
    <row r="334" spans="2:23" ht="12">
      <c r="B334" s="36"/>
      <c r="C334" s="36"/>
      <c r="H334" s="36"/>
      <c r="N334" s="35"/>
      <c r="O334" s="35"/>
      <c r="R334" s="320" t="s">
        <v>287</v>
      </c>
      <c r="S334" s="317">
        <f>MIN(BY,AY)</f>
        <v>0</v>
      </c>
      <c r="T334" s="144"/>
      <c r="U334" s="240"/>
      <c r="V334" s="225"/>
      <c r="W334" s="244"/>
    </row>
    <row r="335" spans="2:23" ht="12">
      <c r="B335" s="36"/>
      <c r="C335" s="36"/>
      <c r="H335" s="36"/>
      <c r="N335" s="35"/>
      <c r="O335" s="35"/>
      <c r="R335" s="320" t="s">
        <v>213</v>
      </c>
      <c r="S335" s="317">
        <f>MAX(BX,AX)</f>
        <v>1</v>
      </c>
      <c r="T335" s="144"/>
      <c r="U335" s="250">
        <f>S348</f>
        <v>0.5</v>
      </c>
      <c r="V335" s="314"/>
      <c r="W335" s="251">
        <f>S349</f>
        <v>0</v>
      </c>
    </row>
    <row r="336" spans="2:23" ht="12">
      <c r="B336" s="36"/>
      <c r="C336" s="36"/>
      <c r="H336" s="36"/>
      <c r="R336" s="320" t="s">
        <v>214</v>
      </c>
      <c r="S336" s="317">
        <f>MAX(BY,AY)</f>
        <v>1.2</v>
      </c>
      <c r="T336" s="144"/>
      <c r="U336" s="245">
        <f>S350</f>
        <v>0.5</v>
      </c>
      <c r="V336" s="315"/>
      <c r="W336" s="262">
        <f>S351</f>
        <v>1.2</v>
      </c>
    </row>
    <row r="337" spans="2:23" ht="12">
      <c r="B337" s="36"/>
      <c r="C337" s="36"/>
      <c r="H337" s="36"/>
      <c r="R337" s="321" t="s">
        <v>293</v>
      </c>
      <c r="S337" s="317">
        <f>SIN(phir)</f>
        <v>0</v>
      </c>
      <c r="T337" s="173"/>
      <c r="U337" s="225"/>
      <c r="V337" s="225"/>
      <c r="W337" s="225"/>
    </row>
    <row r="338" spans="2:23" ht="12">
      <c r="B338" s="36"/>
      <c r="C338" s="36"/>
      <c r="H338" s="36"/>
      <c r="R338" s="321" t="s">
        <v>294</v>
      </c>
      <c r="S338" s="317">
        <f>-COS(phir)</f>
        <v>-1</v>
      </c>
      <c r="T338" s="173"/>
      <c r="U338"/>
      <c r="V338"/>
      <c r="W338"/>
    </row>
    <row r="339" spans="2:23" ht="12">
      <c r="B339" s="36"/>
      <c r="C339" s="36"/>
      <c r="H339" s="36"/>
      <c r="R339" s="321" t="s">
        <v>295</v>
      </c>
      <c r="S339" s="317">
        <f>yg*COS(phir)-xg*SIN(phir)</f>
        <v>0.6</v>
      </c>
      <c r="T339" s="173"/>
      <c r="U339"/>
      <c r="V339"/>
      <c r="W339"/>
    </row>
    <row r="340" spans="2:23" ht="12">
      <c r="B340" s="36"/>
      <c r="C340" s="36"/>
      <c r="H340" s="36"/>
      <c r="R340" s="321" t="s">
        <v>289</v>
      </c>
      <c r="S340" s="317">
        <f>interr(S$333,S$334,S$335,S$336,S$337,S$338,S$339,1)</f>
        <v>0</v>
      </c>
      <c r="T340" s="173" t="s">
        <v>299</v>
      </c>
      <c r="U340"/>
      <c r="V340"/>
      <c r="W340"/>
    </row>
    <row r="341" spans="2:23" ht="12">
      <c r="B341" s="36"/>
      <c r="C341" s="36"/>
      <c r="H341" s="36"/>
      <c r="R341" s="321" t="s">
        <v>290</v>
      </c>
      <c r="S341" s="317">
        <f>interr(S$333,S$334,S$335,S$336,S$337,S$338,S$339,2)</f>
        <v>0.6</v>
      </c>
      <c r="T341" s="173" t="s">
        <v>299</v>
      </c>
      <c r="U341"/>
      <c r="V341"/>
      <c r="W341"/>
    </row>
    <row r="342" spans="2:23" ht="12">
      <c r="B342" s="36"/>
      <c r="C342" s="36"/>
      <c r="H342" s="36"/>
      <c r="R342" s="321" t="s">
        <v>291</v>
      </c>
      <c r="S342" s="317">
        <f>interr(S$333,S$334,S$335,S$336,S$337,S$338,S$339,3)</f>
        <v>1</v>
      </c>
      <c r="T342" s="173" t="s">
        <v>299</v>
      </c>
      <c r="U342"/>
      <c r="V342"/>
      <c r="W342"/>
    </row>
    <row r="343" spans="2:21" ht="12">
      <c r="B343" s="36"/>
      <c r="C343" s="36"/>
      <c r="H343" s="36"/>
      <c r="R343" s="321" t="s">
        <v>292</v>
      </c>
      <c r="S343" s="317">
        <f>interr(S$333,S$334,S$335,S$336,S$337,S$338,S$339,4)</f>
        <v>0.6</v>
      </c>
      <c r="T343" s="173" t="s">
        <v>299</v>
      </c>
      <c r="U343" s="225"/>
    </row>
    <row r="344" spans="2:20" ht="12">
      <c r="B344" s="36"/>
      <c r="C344" s="36"/>
      <c r="H344" s="36"/>
      <c r="R344" s="321"/>
      <c r="T344" s="173"/>
    </row>
    <row r="345" spans="2:20" ht="12">
      <c r="B345" s="36"/>
      <c r="C345" s="36"/>
      <c r="H345" s="36"/>
      <c r="R345" s="321" t="s">
        <v>296</v>
      </c>
      <c r="S345" s="317">
        <f>COS(phir)</f>
        <v>1</v>
      </c>
      <c r="T345" s="173"/>
    </row>
    <row r="346" spans="2:20" ht="12">
      <c r="B346" s="36"/>
      <c r="C346" s="36"/>
      <c r="H346" s="36"/>
      <c r="R346" s="321" t="s">
        <v>297</v>
      </c>
      <c r="S346" s="317">
        <f>SIN(phir)</f>
        <v>0</v>
      </c>
      <c r="T346" s="173"/>
    </row>
    <row r="347" spans="2:20" ht="12">
      <c r="B347" s="36"/>
      <c r="C347" s="36"/>
      <c r="H347" s="36"/>
      <c r="R347" s="321" t="s">
        <v>298</v>
      </c>
      <c r="S347" s="317">
        <f>-xg*COS(phir)-yg*SIN(phir)</f>
        <v>-0.5</v>
      </c>
      <c r="T347" s="173"/>
    </row>
    <row r="348" spans="2:20" ht="12">
      <c r="B348" s="36"/>
      <c r="C348" s="36"/>
      <c r="H348" s="36"/>
      <c r="R348" s="321" t="s">
        <v>289</v>
      </c>
      <c r="S348" s="317">
        <f>interr(S$333,S$334,S$335,S$336,S$345,S$346,S$347,1)</f>
        <v>0.5</v>
      </c>
      <c r="T348" s="173" t="s">
        <v>300</v>
      </c>
    </row>
    <row r="349" spans="2:20" ht="12">
      <c r="B349" s="36"/>
      <c r="C349" s="36"/>
      <c r="H349" s="36"/>
      <c r="R349" s="321" t="s">
        <v>290</v>
      </c>
      <c r="S349" s="317">
        <f>interr(S$333,S$334,S$335,S$336,S$345,S$346,S$347,2)</f>
        <v>0</v>
      </c>
      <c r="T349" s="173" t="s">
        <v>300</v>
      </c>
    </row>
    <row r="350" spans="2:20" ht="12">
      <c r="B350" s="36"/>
      <c r="C350" s="36"/>
      <c r="H350" s="36"/>
      <c r="R350" s="321" t="s">
        <v>291</v>
      </c>
      <c r="S350" s="317">
        <f>interr(S$333,S$334,S$335,S$336,S$345,S$346,S$347,3)</f>
        <v>0.5</v>
      </c>
      <c r="T350" s="173" t="s">
        <v>300</v>
      </c>
    </row>
    <row r="351" spans="2:20" ht="12">
      <c r="B351" s="36"/>
      <c r="C351" s="36"/>
      <c r="H351" s="36"/>
      <c r="R351" s="322" t="s">
        <v>292</v>
      </c>
      <c r="S351" s="323">
        <f>interr(S$333,S$334,S$335,S$336,S$345,S$346,S$347,4)</f>
        <v>1.2</v>
      </c>
      <c r="T351" s="177" t="s">
        <v>300</v>
      </c>
    </row>
    <row r="352" spans="2:8" ht="12">
      <c r="B352" s="36"/>
      <c r="C352" s="36"/>
      <c r="H352" s="36"/>
    </row>
    <row r="353" spans="2:8" ht="12">
      <c r="B353" s="36"/>
      <c r="C353" s="36"/>
      <c r="H353" s="36"/>
    </row>
    <row r="354" spans="2:8" ht="12">
      <c r="B354" s="36"/>
      <c r="C354" s="36"/>
      <c r="H354" s="36"/>
    </row>
    <row r="355" spans="2:8" ht="12">
      <c r="B355" s="36"/>
      <c r="C355" s="36"/>
      <c r="H355" s="36"/>
    </row>
    <row r="356" spans="2:8" ht="12">
      <c r="B356" s="36"/>
      <c r="C356" s="36"/>
      <c r="H356" s="36"/>
    </row>
    <row r="357" spans="2:8" ht="12">
      <c r="B357" s="36"/>
      <c r="C357" s="36"/>
      <c r="H357" s="36"/>
    </row>
    <row r="358" spans="2:8" ht="12">
      <c r="B358" s="36"/>
      <c r="C358" s="36"/>
      <c r="H358" s="36"/>
    </row>
    <row r="359" spans="2:8" ht="12">
      <c r="B359" s="36"/>
      <c r="C359" s="36"/>
      <c r="H359" s="36"/>
    </row>
    <row r="360" spans="2:8" ht="12">
      <c r="B360" s="36"/>
      <c r="C360" s="36"/>
      <c r="H360" s="36"/>
    </row>
    <row r="361" spans="2:8" ht="12">
      <c r="B361" s="36"/>
      <c r="C361" s="36"/>
      <c r="H361" s="36"/>
    </row>
    <row r="362" spans="2:8" ht="12">
      <c r="B362" s="36"/>
      <c r="C362" s="36"/>
      <c r="H362" s="36"/>
    </row>
    <row r="363" spans="2:8" ht="12">
      <c r="B363" s="36"/>
      <c r="C363" s="36"/>
      <c r="H363" s="36"/>
    </row>
    <row r="364" spans="2:8" ht="12">
      <c r="B364" s="36"/>
      <c r="C364" s="36"/>
      <c r="H364" s="36"/>
    </row>
    <row r="365" spans="2:8" ht="12">
      <c r="B365" s="36"/>
      <c r="C365" s="36"/>
      <c r="H365" s="36"/>
    </row>
    <row r="366" spans="2:8" ht="12">
      <c r="B366" s="36"/>
      <c r="C366" s="36"/>
      <c r="H366" s="36"/>
    </row>
    <row r="367" spans="2:8" ht="12">
      <c r="B367" s="36"/>
      <c r="C367" s="36"/>
      <c r="H367" s="36"/>
    </row>
    <row r="368" spans="2:8" ht="12">
      <c r="B368" s="36"/>
      <c r="C368" s="36"/>
      <c r="H368" s="36"/>
    </row>
    <row r="369" spans="2:8" ht="12">
      <c r="B369" s="36"/>
      <c r="C369" s="36"/>
      <c r="H369" s="36"/>
    </row>
    <row r="370" spans="2:8" ht="12">
      <c r="B370" s="36"/>
      <c r="C370" s="36"/>
      <c r="H370" s="36"/>
    </row>
    <row r="371" spans="2:8" ht="12">
      <c r="B371" s="36"/>
      <c r="C371" s="36"/>
      <c r="H371" s="36"/>
    </row>
    <row r="372" spans="2:8" ht="12">
      <c r="B372" s="36"/>
      <c r="C372" s="36"/>
      <c r="H372" s="36"/>
    </row>
    <row r="373" spans="2:8" ht="12">
      <c r="B373" s="36"/>
      <c r="C373" s="36"/>
      <c r="H373" s="36"/>
    </row>
    <row r="374" spans="2:8" ht="12">
      <c r="B374" s="36"/>
      <c r="C374" s="36"/>
      <c r="H374" s="36"/>
    </row>
    <row r="375" spans="2:8" ht="12">
      <c r="B375" s="36"/>
      <c r="C375" s="36"/>
      <c r="H375" s="36"/>
    </row>
    <row r="376" spans="2:8" ht="12">
      <c r="B376" s="36"/>
      <c r="C376" s="36"/>
      <c r="H376" s="36"/>
    </row>
    <row r="377" spans="2:8" ht="12">
      <c r="B377" s="36"/>
      <c r="C377" s="36"/>
      <c r="H377" s="36"/>
    </row>
    <row r="378" spans="2:8" ht="12">
      <c r="B378" s="36"/>
      <c r="C378" s="36"/>
      <c r="H378" s="36"/>
    </row>
    <row r="379" spans="2:8" ht="12">
      <c r="B379" s="36"/>
      <c r="C379" s="36"/>
      <c r="H379" s="36"/>
    </row>
    <row r="380" spans="2:8" ht="12">
      <c r="B380" s="36"/>
      <c r="C380" s="36"/>
      <c r="H380" s="36"/>
    </row>
    <row r="381" spans="2:8" ht="12">
      <c r="B381" s="36"/>
      <c r="C381" s="36"/>
      <c r="H381" s="36"/>
    </row>
    <row r="382" spans="42:43" ht="12">
      <c r="AP382" s="147"/>
      <c r="AQ382" s="147"/>
    </row>
    <row r="383" spans="42:43" ht="12">
      <c r="AP383" s="147"/>
      <c r="AQ383" s="147"/>
    </row>
    <row r="384" spans="42:43" ht="12">
      <c r="AP384" s="147"/>
      <c r="AQ384" s="147"/>
    </row>
    <row r="385" spans="42:43" ht="12">
      <c r="AP385" s="147"/>
      <c r="AQ385" s="147"/>
    </row>
    <row r="386" spans="42:43" ht="12">
      <c r="AP386" s="147"/>
      <c r="AQ386" s="147"/>
    </row>
  </sheetData>
  <sheetProtection selectLockedCells="1" pivotTables="0"/>
  <mergeCells count="1">
    <mergeCell ref="L5:M5"/>
  </mergeCells>
  <dataValidations count="5">
    <dataValidation type="list" allowBlank="1" showInputMessage="1" showErrorMessage="1" sqref="I21">
      <formula1>$Q$6:$Q$9</formula1>
    </dataValidation>
    <dataValidation type="whole" allowBlank="1" showInputMessage="1" showErrorMessage="1" sqref="C8:C9">
      <formula1>3</formula1>
      <formula2>32</formula2>
    </dataValidation>
    <dataValidation type="whole" allowBlank="1" showInputMessage="1" showErrorMessage="1" sqref="C7">
      <formula1>3</formula1>
      <formula2>16</formula2>
    </dataValidation>
    <dataValidation type="list" allowBlank="1" showInputMessage="1" showErrorMessage="1" sqref="C15">
      <formula1>$Y$37:$Y$50</formula1>
    </dataValidation>
    <dataValidation type="whole" allowBlank="1" showInputMessage="1" showErrorMessage="1" sqref="C16">
      <formula1>400</formula1>
      <formula2>600</formula2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scale="65" r:id="rId4"/>
  <rowBreaks count="1" manualBreakCount="1">
    <brk id="76" max="255" man="1"/>
  </rowBreaks>
  <colBreaks count="3" manualBreakCount="3">
    <brk id="16" max="65535" man="1"/>
    <brk id="17" max="65535" man="1"/>
    <brk id="44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I37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4.00390625" style="2" customWidth="1"/>
    <col min="2" max="16384" width="12.00390625" style="2" customWidth="1"/>
  </cols>
  <sheetData>
    <row r="1" spans="1:9" ht="12">
      <c r="A1" s="7" t="s">
        <v>161</v>
      </c>
      <c r="I1" s="3" t="s">
        <v>65</v>
      </c>
    </row>
    <row r="2" spans="1:9" ht="12">
      <c r="A2" s="7"/>
      <c r="I2" s="30" t="s">
        <v>9</v>
      </c>
    </row>
    <row r="3" spans="1:7" ht="12">
      <c r="A3" s="7" t="s">
        <v>138</v>
      </c>
      <c r="G3" s="30"/>
    </row>
    <row r="4" ht="12">
      <c r="G4" s="30"/>
    </row>
    <row r="5" spans="1:7" ht="12">
      <c r="A5" s="3">
        <v>1</v>
      </c>
      <c r="B5" s="2" t="s">
        <v>160</v>
      </c>
      <c r="G5" s="30"/>
    </row>
    <row r="6" ht="12">
      <c r="A6" s="3"/>
    </row>
    <row r="7" spans="1:2" ht="12">
      <c r="A7" s="3">
        <v>2</v>
      </c>
      <c r="B7" s="2" t="s">
        <v>142</v>
      </c>
    </row>
    <row r="8" spans="1:2" ht="12">
      <c r="A8" s="3"/>
      <c r="B8" s="3"/>
    </row>
    <row r="9" spans="1:2" ht="12">
      <c r="A9" s="3">
        <v>3</v>
      </c>
      <c r="B9" s="2" t="s">
        <v>145</v>
      </c>
    </row>
    <row r="10" ht="12">
      <c r="A10" s="3"/>
    </row>
    <row r="11" spans="1:2" ht="12">
      <c r="A11" s="3">
        <v>4</v>
      </c>
      <c r="B11" s="2" t="s">
        <v>146</v>
      </c>
    </row>
    <row r="12" spans="1:2" ht="12">
      <c r="A12" s="3"/>
      <c r="B12" s="2" t="s">
        <v>143</v>
      </c>
    </row>
    <row r="13" ht="12">
      <c r="A13" s="3"/>
    </row>
    <row r="14" spans="1:9" ht="13.5">
      <c r="A14" s="3">
        <v>5</v>
      </c>
      <c r="B14" s="2" t="s">
        <v>144</v>
      </c>
      <c r="I14" s="2" t="str">
        <f>"Ici : n = "&amp;ROUND(neq,2)</f>
        <v>Ici : n = 15</v>
      </c>
    </row>
    <row r="15" spans="1:2" ht="12">
      <c r="A15" s="3"/>
      <c r="B15" s="2" t="str">
        <f>"(En ELU, la section nette est derminée avec le coefficient d'équivalence : "&amp;ROUND(neq,2)&amp;" )"</f>
        <v>(En ELU, la section nette est derminée avec le coefficient d'équivalence : 15 )</v>
      </c>
    </row>
    <row r="16" ht="12">
      <c r="A16" s="3"/>
    </row>
    <row r="17" spans="1:2" ht="13.5">
      <c r="A17" s="3">
        <v>6</v>
      </c>
      <c r="B17" s="2" t="s">
        <v>147</v>
      </c>
    </row>
    <row r="18" spans="1:2" ht="13.5">
      <c r="A18" s="3"/>
      <c r="B18" s="2" t="s">
        <v>63</v>
      </c>
    </row>
    <row r="19" spans="1:2" ht="13.5">
      <c r="A19" s="3"/>
      <c r="B19" s="2" t="s">
        <v>75</v>
      </c>
    </row>
    <row r="20" ht="12">
      <c r="A20" s="3"/>
    </row>
    <row r="21" spans="1:2" ht="12">
      <c r="A21" s="3">
        <v>7</v>
      </c>
      <c r="B21" s="2" t="s">
        <v>136</v>
      </c>
    </row>
    <row r="22" spans="1:2" ht="12">
      <c r="A22" s="3"/>
      <c r="B22" s="2" t="s">
        <v>64</v>
      </c>
    </row>
    <row r="23" ht="12">
      <c r="A23" s="3"/>
    </row>
    <row r="24" spans="1:7" ht="13.5">
      <c r="A24" s="3">
        <v>8</v>
      </c>
      <c r="B24" s="129" t="s">
        <v>264</v>
      </c>
      <c r="D24" s="2" t="s">
        <v>266</v>
      </c>
      <c r="G24" s="2" t="s">
        <v>109</v>
      </c>
    </row>
    <row r="25" spans="1:4" ht="13.5">
      <c r="A25" s="3"/>
      <c r="B25" s="129" t="s">
        <v>265</v>
      </c>
      <c r="D25" s="2" t="s">
        <v>267</v>
      </c>
    </row>
    <row r="26" ht="12">
      <c r="A26" s="3"/>
    </row>
    <row r="27" spans="1:2" ht="12">
      <c r="A27" s="3">
        <v>9</v>
      </c>
      <c r="B27" s="2" t="s">
        <v>115</v>
      </c>
    </row>
    <row r="28" spans="1:2" ht="12">
      <c r="A28" s="3"/>
      <c r="B28" s="2" t="s">
        <v>260</v>
      </c>
    </row>
    <row r="29" ht="12">
      <c r="A29" s="3"/>
    </row>
    <row r="30" spans="1:2" ht="13.5">
      <c r="A30" s="3">
        <v>10</v>
      </c>
      <c r="B30" s="2" t="s">
        <v>261</v>
      </c>
    </row>
    <row r="31" spans="1:2" ht="13.5">
      <c r="A31" s="3"/>
      <c r="B31" s="2" t="s">
        <v>262</v>
      </c>
    </row>
    <row r="32" ht="12">
      <c r="A32" s="3"/>
    </row>
    <row r="33" spans="1:2" ht="13.5">
      <c r="A33" s="3">
        <v>11</v>
      </c>
      <c r="B33" s="2" t="s">
        <v>0</v>
      </c>
    </row>
    <row r="34" spans="1:2" ht="13.5">
      <c r="A34" s="3"/>
      <c r="B34" s="2" t="s">
        <v>1</v>
      </c>
    </row>
    <row r="35" ht="12">
      <c r="A35" s="3"/>
    </row>
    <row r="36" spans="1:2" ht="12">
      <c r="A36" s="2">
        <v>12</v>
      </c>
      <c r="B36" s="2" t="s">
        <v>106</v>
      </c>
    </row>
    <row r="37" ht="12">
      <c r="B37" s="2" t="s">
        <v>107</v>
      </c>
    </row>
  </sheetData>
  <sheetProtection password="DE57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Thonier</dc:creator>
  <cp:keywords/>
  <dc:description/>
  <cp:lastModifiedBy>BTI</cp:lastModifiedBy>
  <cp:lastPrinted>2004-07-23T15:19:15Z</cp:lastPrinted>
  <dcterms:created xsi:type="dcterms:W3CDTF">2003-08-21T11:20:05Z</dcterms:created>
  <dcterms:modified xsi:type="dcterms:W3CDTF">2017-10-15T02:50:47Z</dcterms:modified>
  <cp:category/>
  <cp:version/>
  <cp:contentType/>
  <cp:contentStatus/>
</cp:coreProperties>
</file>