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774" activeTab="0"/>
  </bookViews>
  <sheets>
    <sheet name="Voile PS 92" sheetId="1" r:id="rId1"/>
    <sheet name="Méthode forfaitaire" sheetId="2" r:id="rId2"/>
    <sheet name="Inertie 2 trumeaux" sheetId="3" r:id="rId3"/>
    <sheet name="Inertie 10 trumeaux" sheetId="4" r:id="rId4"/>
    <sheet name="Ka PS92" sheetId="5" r:id="rId5"/>
    <sheet name="Hyp séisme" sheetId="6" r:id="rId6"/>
    <sheet name="Maçonnerie au seisme" sheetId="7" r:id="rId7"/>
  </sheets>
  <definedNames>
    <definedName name="_xlnm.Print_Area" localSheetId="2">'Inertie 2 trumeaux'!$A$2:$J$21</definedName>
    <definedName name="_xlnm.Print_Area" localSheetId="4">'Ka PS92'!$A$1:$M$100</definedName>
    <definedName name="_xlnm.Print_Area" localSheetId="6">'Maçonnerie au seisme'!$A$1:$L$39,'Maçonnerie au seisme'!$A$41:$C$60</definedName>
    <definedName name="_xlnm.Print_Area" localSheetId="1">'Méthode forfaitaire'!$A$1:$AL$20</definedName>
    <definedName name="_xlnm.Print_Area" localSheetId="0">'Voile PS 92'!$A$1:$N$56</definedName>
  </definedNames>
  <calcPr fullCalcOnLoad="1"/>
</workbook>
</file>

<file path=xl/comments1.xml><?xml version="1.0" encoding="utf-8"?>
<comments xmlns="http://schemas.openxmlformats.org/spreadsheetml/2006/main">
  <authors>
    <author>ALBERTO</author>
    <author>J. Battais</author>
  </authors>
  <commentList>
    <comment ref="B54" authorId="0">
      <text>
        <r>
          <rPr>
            <b/>
            <sz val="8"/>
            <rFont val="Tahoma"/>
            <family val="0"/>
          </rPr>
          <t xml:space="preserve">Fb = 0 &lt;=&gt; le plus défavorable
</t>
        </r>
      </text>
    </comment>
    <comment ref="C33" authorId="0">
      <text>
        <r>
          <rPr>
            <b/>
            <sz val="8"/>
            <rFont val="Tahoma"/>
            <family val="0"/>
          </rPr>
          <t>Si Mu mini et Mu maxi de signes différents =&gt; Mu = 0
Un faible moment avec un faible N et un grand V = le plus défavorable pour la vérification au glissement.</t>
        </r>
      </text>
    </comment>
    <comment ref="A40" authorId="0">
      <text>
        <r>
          <rPr>
            <b/>
            <sz val="8"/>
            <rFont val="Tahoma"/>
            <family val="0"/>
          </rPr>
          <t>bande de calcul de la contrainte sigma limite
= min(l/2 ; 2*yu/3 )</t>
        </r>
      </text>
    </comment>
    <comment ref="B31" authorId="0">
      <text>
        <r>
          <rPr>
            <b/>
            <sz val="8"/>
            <rFont val="Tahoma"/>
            <family val="0"/>
          </rPr>
          <t xml:space="preserve">fbu doit être inférieur à </t>
        </r>
        <r>
          <rPr>
            <b/>
            <sz val="8"/>
            <rFont val="Symbol"/>
            <family val="1"/>
          </rPr>
          <t>s</t>
        </r>
        <r>
          <rPr>
            <b/>
            <vertAlign val="subscript"/>
            <sz val="8"/>
            <rFont val="Tahoma"/>
            <family val="2"/>
          </rPr>
          <t>bc</t>
        </r>
        <r>
          <rPr>
            <b/>
            <sz val="8"/>
            <rFont val="Tahoma"/>
            <family val="2"/>
          </rPr>
          <t xml:space="preserve"> ; si calcul a mi hauteur du voile prendre le min entre </t>
        </r>
        <r>
          <rPr>
            <b/>
            <sz val="8"/>
            <rFont val="Symbol"/>
            <family val="1"/>
          </rPr>
          <t>s</t>
        </r>
        <r>
          <rPr>
            <b/>
            <vertAlign val="subscript"/>
            <sz val="8"/>
            <rFont val="Tahoma"/>
            <family val="2"/>
          </rPr>
          <t>bc</t>
        </r>
        <r>
          <rPr>
            <b/>
            <sz val="8"/>
            <rFont val="Tahoma"/>
            <family val="2"/>
          </rPr>
          <t xml:space="preserve"> et </t>
        </r>
        <r>
          <rPr>
            <b/>
            <sz val="8"/>
            <rFont val="Symbol"/>
            <family val="1"/>
          </rPr>
          <t>s</t>
        </r>
        <r>
          <rPr>
            <b/>
            <vertAlign val="subscript"/>
            <sz val="8"/>
            <rFont val="Tahoma"/>
            <family val="2"/>
          </rPr>
          <t>ulim</t>
        </r>
        <r>
          <rPr>
            <b/>
            <sz val="8"/>
            <rFont val="Tahoma"/>
            <family val="0"/>
          </rPr>
          <t xml:space="preserve">
Si vérification au glissement diminuer fbu pour mettre plus d'acier de flexion (jusqu'au CV) pour augmenter la longueur comprimer et diminuer les aciers de glissement
</t>
        </r>
      </text>
    </comment>
    <comment ref="A41" authorId="0">
      <text>
        <r>
          <rPr>
            <b/>
            <sz val="8"/>
            <rFont val="Tahoma"/>
            <family val="0"/>
          </rPr>
          <t>contrainte réel au milieu de la bande dc</t>
        </r>
      </text>
    </comment>
    <comment ref="V38" authorId="0">
      <text>
        <r>
          <rPr>
            <b/>
            <sz val="8"/>
            <rFont val="Tahoma"/>
            <family val="0"/>
          </rPr>
          <t>Diagrame triangulaire</t>
        </r>
        <r>
          <rPr>
            <sz val="8"/>
            <rFont val="Tahoma"/>
            <family val="0"/>
          </rPr>
          <t xml:space="preserve">
</t>
        </r>
      </text>
    </comment>
    <comment ref="E19" authorId="1">
      <text>
        <r>
          <rPr>
            <sz val="8"/>
            <rFont val="Tahoma"/>
            <family val="0"/>
          </rPr>
          <t xml:space="preserve">concommitant aux sollicitations Mu et Nu
</t>
        </r>
      </text>
    </comment>
    <comment ref="A1" authorId="0">
      <text>
        <r>
          <rPr>
            <b/>
            <sz val="8"/>
            <rFont val="Tahoma"/>
            <family val="0"/>
          </rPr>
          <t>modifié le 25/09 :
permet à l'utilisateur d'entrer d mauellement</t>
        </r>
        <r>
          <rPr>
            <sz val="8"/>
            <rFont val="Tahoma"/>
            <family val="0"/>
          </rPr>
          <t xml:space="preserve">
erreur sur calcul A qd es&lt;2,17
</t>
        </r>
        <r>
          <rPr>
            <b/>
            <sz val="8"/>
            <rFont val="Tahoma"/>
            <family val="2"/>
          </rPr>
          <t xml:space="preserve">modifié le 7/12
</t>
        </r>
        <r>
          <rPr>
            <sz val="8"/>
            <rFont val="Tahoma"/>
            <family val="2"/>
          </rPr>
          <t xml:space="preserve">date d'appli des charges
</t>
        </r>
        <r>
          <rPr>
            <b/>
            <sz val="8"/>
            <rFont val="Tahoma"/>
            <family val="2"/>
          </rPr>
          <t>modifié le 5/03/2001</t>
        </r>
        <r>
          <rPr>
            <sz val="8"/>
            <rFont val="Tahoma"/>
            <family val="2"/>
          </rPr>
          <t xml:space="preserve">
modif présentation efforts / caché st des TS
</t>
        </r>
        <r>
          <rPr>
            <b/>
            <sz val="8"/>
            <rFont val="Tahoma"/>
            <family val="2"/>
          </rPr>
          <t>Le7/03/2001</t>
        </r>
        <r>
          <rPr>
            <sz val="8"/>
            <rFont val="Tahoma"/>
            <family val="2"/>
          </rPr>
          <t xml:space="preserve">
Il faut modifier le calcul des aciers quand la section est totalement tendue avec résultante excentrée
</t>
        </r>
        <r>
          <rPr>
            <b/>
            <sz val="8"/>
            <rFont val="Tahoma"/>
            <family val="2"/>
          </rPr>
          <t>Le 8/03/2001</t>
        </r>
        <r>
          <rPr>
            <sz val="8"/>
            <rFont val="Tahoma"/>
            <family val="2"/>
          </rPr>
          <t xml:space="preserve">
Il faut faire un test sur le domanine en fonction de e=M/N (comp partiellement PR ou Triangle ou tendu....)
</t>
        </r>
        <r>
          <rPr>
            <b/>
            <sz val="8"/>
            <rFont val="Tahoma"/>
            <family val="2"/>
          </rPr>
          <t>Le 23/03/2001</t>
        </r>
        <r>
          <rPr>
            <sz val="8"/>
            <rFont val="Tahoma"/>
            <family val="2"/>
          </rPr>
          <t xml:space="preserve">
Faire test sur la contrainte de cisaillement tau*&lt;0,2fcj/1,15
fc28&lt;1,1fc25
</t>
        </r>
        <r>
          <rPr>
            <b/>
            <sz val="8"/>
            <rFont val="Tahoma"/>
            <family val="2"/>
          </rPr>
          <t>Le 4/06/2002</t>
        </r>
        <r>
          <rPr>
            <sz val="8"/>
            <rFont val="Tahoma"/>
            <family val="2"/>
          </rPr>
          <t xml:space="preserve">
modif de fcj=min( fc28*1.1;fcj)
suppr. date d'application de la charge
modif contrainte sigma u limite</t>
        </r>
      </text>
    </comment>
  </commentList>
</comments>
</file>

<file path=xl/comments2.xml><?xml version="1.0" encoding="utf-8"?>
<comments xmlns="http://schemas.openxmlformats.org/spreadsheetml/2006/main">
  <authors>
    <author>ALBERTO</author>
  </authors>
  <commentList>
    <comment ref="B7" authorId="0">
      <text>
        <r>
          <rPr>
            <sz val="10"/>
            <rFont val="Symbol"/>
            <family val="1"/>
          </rPr>
          <t>r</t>
        </r>
        <r>
          <rPr>
            <vertAlign val="subscript"/>
            <sz val="10"/>
            <rFont val="Tahoma"/>
            <family val="2"/>
          </rPr>
          <t>0</t>
        </r>
        <r>
          <rPr>
            <sz val="10"/>
            <rFont val="Tahoma"/>
            <family val="0"/>
          </rPr>
          <t xml:space="preserve"> = 1+0,05*(T/Tc)^(4/3) pour contreventement par voile
</t>
        </r>
        <r>
          <rPr>
            <sz val="10"/>
            <rFont val="Symbol"/>
            <family val="1"/>
          </rPr>
          <t>r</t>
        </r>
        <r>
          <rPr>
            <vertAlign val="subscript"/>
            <sz val="10"/>
            <rFont val="Symbol"/>
            <family val="1"/>
          </rPr>
          <t>0</t>
        </r>
        <r>
          <rPr>
            <sz val="10"/>
            <rFont val="Symbol"/>
            <family val="1"/>
          </rPr>
          <t xml:space="preserve"> </t>
        </r>
        <r>
          <rPr>
            <sz val="10"/>
            <rFont val="Tahoma"/>
            <family val="2"/>
          </rPr>
          <t>= 1+0,03*(T/Tc)^(4/3) pour contreventement par portique</t>
        </r>
      </text>
    </comment>
  </commentList>
</comments>
</file>

<file path=xl/comments4.xml><?xml version="1.0" encoding="utf-8"?>
<comments xmlns="http://schemas.openxmlformats.org/spreadsheetml/2006/main">
  <authors>
    <author>ALBERTO</author>
  </authors>
  <commentList>
    <comment ref="A13" authorId="0">
      <text>
        <r>
          <rPr>
            <b/>
            <sz val="8"/>
            <rFont val="Tahoma"/>
            <family val="0"/>
          </rPr>
          <t>3 trumeaux minimum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ALBERTO</author>
    <author>Edouard MOREAU</author>
  </authors>
  <commentList>
    <comment ref="A13" authorId="0">
      <text>
        <r>
          <rPr>
            <b/>
            <sz val="8"/>
            <rFont val="Tahoma"/>
            <family val="0"/>
          </rPr>
          <t>Entre 1 (poussée des terres au repos : murs non déplaçables)  et 1.2 (poussée actives des terres : murs déplaçables)</t>
        </r>
      </text>
    </comment>
    <comment ref="A14" authorId="0">
      <text>
        <r>
          <rPr>
            <b/>
            <sz val="8"/>
            <rFont val="Tahoma"/>
            <family val="0"/>
          </rPr>
          <t>coef topo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accélé nominale de 1 à 4.5 suivant région et classe de l'ouvrage</t>
        </r>
      </text>
    </comment>
    <comment ref="H28" authorId="1">
      <text>
        <r>
          <rPr>
            <b/>
            <sz val="8"/>
            <rFont val="Tahoma"/>
            <family val="0"/>
          </rPr>
          <t>Faire varier la valeur entre qmin et qmax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<sst xmlns="http://schemas.openxmlformats.org/spreadsheetml/2006/main" count="557" uniqueCount="387">
  <si>
    <t>l'f =</t>
  </si>
  <si>
    <t>l =</t>
  </si>
  <si>
    <t>a =</t>
  </si>
  <si>
    <t>fc28 =</t>
  </si>
  <si>
    <t>fe =</t>
  </si>
  <si>
    <t>fcj =</t>
  </si>
  <si>
    <t>T</t>
  </si>
  <si>
    <t>q =</t>
  </si>
  <si>
    <t>cm²</t>
  </si>
  <si>
    <t>m</t>
  </si>
  <si>
    <t>%</t>
  </si>
  <si>
    <t>T.m</t>
  </si>
  <si>
    <t>Mpa</t>
  </si>
  <si>
    <t>V* =</t>
  </si>
  <si>
    <t>Glissement :</t>
  </si>
  <si>
    <t>Cisaillement :</t>
  </si>
  <si>
    <t>Fb =</t>
  </si>
  <si>
    <t xml:space="preserve"> m</t>
  </si>
  <si>
    <t>b =</t>
  </si>
  <si>
    <t>Caractéristiques du voile :</t>
  </si>
  <si>
    <t>c =</t>
  </si>
  <si>
    <r>
      <t>l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=</t>
    </r>
  </si>
  <si>
    <t>j</t>
  </si>
  <si>
    <r>
      <t>g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</t>
    </r>
  </si>
  <si>
    <r>
      <t>g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</t>
    </r>
  </si>
  <si>
    <r>
      <t>g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</si>
  <si>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ulim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</si>
  <si>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bc</t>
    </r>
    <r>
      <rPr>
        <sz val="10"/>
        <rFont val="Times New Roman"/>
        <family val="1"/>
      </rPr>
      <t xml:space="preserve"> =</t>
    </r>
  </si>
  <si>
    <r>
      <t>M</t>
    </r>
    <r>
      <rPr>
        <vertAlign val="subscript"/>
        <sz val="10"/>
        <rFont val="Times New Roman"/>
        <family val="1"/>
      </rPr>
      <t>u</t>
    </r>
    <r>
      <rPr>
        <sz val="10"/>
        <rFont val="Times New Roman"/>
        <family val="1"/>
      </rPr>
      <t xml:space="preserve"> =</t>
    </r>
  </si>
  <si>
    <t>Nu =</t>
  </si>
  <si>
    <t>Vu =</t>
  </si>
  <si>
    <t>Eb =</t>
  </si>
  <si>
    <t>T/m²</t>
  </si>
  <si>
    <r>
      <t>f</t>
    </r>
    <r>
      <rPr>
        <vertAlign val="subscript"/>
        <sz val="10"/>
        <rFont val="Times New Roman"/>
        <family val="1"/>
      </rPr>
      <t xml:space="preserve">bu </t>
    </r>
    <r>
      <rPr>
        <sz val="10"/>
        <rFont val="Times New Roman"/>
        <family val="1"/>
      </rPr>
      <t>=</t>
    </r>
  </si>
  <si>
    <r>
      <t>y</t>
    </r>
    <r>
      <rPr>
        <vertAlign val="subscript"/>
        <sz val="10"/>
        <rFont val="Times New Roman"/>
        <family val="1"/>
      </rPr>
      <t>u</t>
    </r>
    <r>
      <rPr>
        <sz val="10"/>
        <rFont val="Times New Roman"/>
        <family val="1"/>
      </rPr>
      <t xml:space="preserve"> =</t>
    </r>
  </si>
  <si>
    <r>
      <t>d</t>
    </r>
    <r>
      <rPr>
        <vertAlign val="subscript"/>
        <sz val="10"/>
        <rFont val="Times New Roman"/>
        <family val="1"/>
      </rPr>
      <t>utile</t>
    </r>
    <r>
      <rPr>
        <sz val="10"/>
        <rFont val="Times New Roman"/>
        <family val="1"/>
      </rPr>
      <t xml:space="preserve"> =</t>
    </r>
  </si>
  <si>
    <t>A = A' =</t>
  </si>
  <si>
    <r>
      <t>n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</t>
    </r>
  </si>
  <si>
    <r>
      <t>r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</si>
  <si>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 xml:space="preserve">%mini </t>
    </r>
    <r>
      <rPr>
        <sz val="10"/>
        <rFont val="Symbol"/>
        <family val="1"/>
      </rPr>
      <t>r</t>
    </r>
    <r>
      <rPr>
        <vertAlign val="sub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=</t>
    </r>
  </si>
  <si>
    <r>
      <t>w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=</t>
    </r>
  </si>
  <si>
    <r>
      <t>s</t>
    </r>
    <r>
      <rPr>
        <sz val="10"/>
        <rFont val="Times New Roman"/>
        <family val="1"/>
      </rPr>
      <t xml:space="preserve"> =</t>
    </r>
  </si>
  <si>
    <r>
      <t>a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=</t>
    </r>
  </si>
  <si>
    <r>
      <t>t</t>
    </r>
    <r>
      <rPr>
        <sz val="10"/>
        <rFont val="Times New Roman"/>
        <family val="1"/>
      </rPr>
      <t>* =</t>
    </r>
  </si>
  <si>
    <r>
      <t>a</t>
    </r>
    <r>
      <rPr>
        <vertAlign val="subscript"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=</t>
    </r>
  </si>
  <si>
    <r>
      <t>M</t>
    </r>
    <r>
      <rPr>
        <vertAlign val="subscript"/>
        <sz val="10"/>
        <rFont val="Times New Roman"/>
        <family val="1"/>
      </rPr>
      <t>ulim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</si>
  <si>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</si>
  <si>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</si>
  <si>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</si>
  <si>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t</t>
    </r>
    <r>
      <rPr>
        <vertAlign val="subscript"/>
        <sz val="10"/>
        <rFont val="Times New Roman"/>
        <family val="1"/>
      </rPr>
      <t>lim</t>
    </r>
    <r>
      <rPr>
        <sz val="10"/>
        <rFont val="Times New Roman"/>
        <family val="1"/>
      </rPr>
      <t xml:space="preserve"> =</t>
    </r>
  </si>
  <si>
    <r>
      <t xml:space="preserve">tg </t>
    </r>
    <r>
      <rPr>
        <sz val="10"/>
        <rFont val="Symbol"/>
        <family val="1"/>
      </rPr>
      <t>j</t>
    </r>
    <r>
      <rPr>
        <sz val="10"/>
        <rFont val="Times New Roman"/>
        <family val="1"/>
      </rPr>
      <t xml:space="preserve"> =</t>
    </r>
  </si>
  <si>
    <r>
      <t>V*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=</t>
    </r>
  </si>
  <si>
    <r>
      <t>l</t>
    </r>
    <r>
      <rPr>
        <b/>
        <sz val="10"/>
        <rFont val="Times New Roman"/>
        <family val="1"/>
      </rPr>
      <t xml:space="preserve"> =</t>
    </r>
  </si>
  <si>
    <r>
      <t>a</t>
    </r>
    <r>
      <rPr>
        <sz val="10"/>
        <rFont val="Times New Roman"/>
        <family val="1"/>
      </rPr>
      <t xml:space="preserve"> =</t>
    </r>
  </si>
  <si>
    <t>yu =</t>
  </si>
  <si>
    <t>alpha</t>
  </si>
  <si>
    <t>1/1000</t>
  </si>
  <si>
    <t>es</t>
  </si>
  <si>
    <t>eb</t>
  </si>
  <si>
    <t>psi</t>
  </si>
  <si>
    <t>delta</t>
  </si>
  <si>
    <t>beta</t>
  </si>
  <si>
    <t xml:space="preserve">A = </t>
  </si>
  <si>
    <t>Es =</t>
  </si>
  <si>
    <t>MPa</t>
  </si>
  <si>
    <t>m    &lt;</t>
  </si>
  <si>
    <t>bande dc =</t>
  </si>
  <si>
    <t>A=</t>
  </si>
  <si>
    <t>ni =</t>
  </si>
  <si>
    <t>Section total. tendue</t>
  </si>
  <si>
    <t>A =</t>
  </si>
  <si>
    <r>
      <t>s</t>
    </r>
    <r>
      <rPr>
        <vertAlign val="subscript"/>
        <sz val="10"/>
        <rFont val="Times New Roman"/>
        <family val="1"/>
      </rPr>
      <t>bpointe</t>
    </r>
    <r>
      <rPr>
        <sz val="10"/>
        <rFont val="Times New Roman"/>
        <family val="1"/>
      </rPr>
      <t xml:space="preserve"> =</t>
    </r>
  </si>
  <si>
    <t>b/2 =</t>
  </si>
  <si>
    <t>b/6 =</t>
  </si>
  <si>
    <t>Sect° partiel. Comp.  eo  &lt;  b/2  et   &gt;  b/6</t>
  </si>
  <si>
    <t>Sect° total. Comp.  eo  &lt; b/6</t>
  </si>
  <si>
    <r>
      <t>s</t>
    </r>
    <r>
      <rPr>
        <vertAlign val="subscript"/>
        <sz val="10"/>
        <rFont val="Times New Roman"/>
        <family val="1"/>
      </rPr>
      <t>bmin</t>
    </r>
    <r>
      <rPr>
        <sz val="10"/>
        <rFont val="Times New Roman"/>
        <family val="1"/>
      </rPr>
      <t xml:space="preserve"> =</t>
    </r>
  </si>
  <si>
    <r>
      <t>s</t>
    </r>
    <r>
      <rPr>
        <vertAlign val="subscript"/>
        <sz val="10"/>
        <rFont val="Times New Roman"/>
        <family val="1"/>
      </rPr>
      <t>bmax</t>
    </r>
    <r>
      <rPr>
        <sz val="10"/>
        <rFont val="Times New Roman"/>
        <family val="1"/>
      </rPr>
      <t xml:space="preserve"> =</t>
    </r>
  </si>
  <si>
    <t>dc =</t>
  </si>
  <si>
    <t xml:space="preserve">A </t>
  </si>
  <si>
    <r>
      <t>m</t>
    </r>
    <r>
      <rPr>
        <vertAlign val="subscript"/>
        <sz val="10"/>
        <rFont val="Times New Roman"/>
        <family val="1"/>
      </rPr>
      <t>ua</t>
    </r>
  </si>
  <si>
    <r>
      <t>M</t>
    </r>
    <r>
      <rPr>
        <vertAlign val="subscript"/>
        <sz val="10"/>
        <rFont val="Times New Roman"/>
        <family val="1"/>
      </rPr>
      <t>ua</t>
    </r>
  </si>
  <si>
    <r>
      <t>s</t>
    </r>
    <r>
      <rPr>
        <vertAlign val="subscript"/>
        <sz val="10"/>
        <rFont val="Times New Roman"/>
        <family val="1"/>
      </rPr>
      <t>bmax</t>
    </r>
  </si>
  <si>
    <t>Fb</t>
  </si>
  <si>
    <t>ni</t>
  </si>
  <si>
    <t>dc</t>
  </si>
  <si>
    <t>yu</t>
  </si>
  <si>
    <t>ebi</t>
  </si>
  <si>
    <r>
      <t>e</t>
    </r>
    <r>
      <rPr>
        <b/>
        <vertAlign val="subscript"/>
        <sz val="10"/>
        <rFont val="Times New Roman"/>
        <family val="1"/>
      </rPr>
      <t>0</t>
    </r>
    <r>
      <rPr>
        <b/>
        <sz val="10"/>
        <rFont val="Times New Roman"/>
        <family val="1"/>
      </rPr>
      <t xml:space="preserve"> (m)=</t>
    </r>
  </si>
  <si>
    <t>Sect° partiel. Comp.  eo  &gt;  b/2  et   &gt;  b/6</t>
  </si>
  <si>
    <t>d' =</t>
  </si>
  <si>
    <t>largeur poteau</t>
  </si>
  <si>
    <r>
      <t>m</t>
    </r>
    <r>
      <rPr>
        <vertAlign val="subscript"/>
        <sz val="10"/>
        <rFont val="Times New Roman"/>
        <family val="1"/>
      </rPr>
      <t>ua test</t>
    </r>
  </si>
  <si>
    <t>âge béton:</t>
  </si>
  <si>
    <r>
      <t>e</t>
    </r>
    <r>
      <rPr>
        <vertAlign val="subscript"/>
        <sz val="10"/>
        <rFont val="Times New Roman"/>
        <family val="1"/>
      </rPr>
      <t>bmax</t>
    </r>
    <r>
      <rPr>
        <sz val="10"/>
        <rFont val="Times New Roman"/>
        <family val="1"/>
      </rPr>
      <t xml:space="preserve"> =</t>
    </r>
  </si>
  <si>
    <r>
      <t>e</t>
    </r>
    <r>
      <rPr>
        <vertAlign val="subscript"/>
        <sz val="10"/>
        <rFont val="Times New Roman"/>
        <family val="1"/>
      </rPr>
      <t>smax</t>
    </r>
    <r>
      <rPr>
        <sz val="10"/>
        <rFont val="Times New Roman"/>
        <family val="1"/>
      </rPr>
      <t xml:space="preserve"> =</t>
    </r>
  </si>
  <si>
    <t>°/00</t>
  </si>
  <si>
    <t>hi</t>
  </si>
  <si>
    <t>Mi</t>
  </si>
  <si>
    <t>zi</t>
  </si>
  <si>
    <r>
      <t>q</t>
    </r>
    <r>
      <rPr>
        <sz val="10"/>
        <rFont val="Times New Roman"/>
        <family val="1"/>
      </rPr>
      <t>i</t>
    </r>
  </si>
  <si>
    <t>ui</t>
  </si>
  <si>
    <t>E =</t>
  </si>
  <si>
    <t>fxi</t>
  </si>
  <si>
    <t>uxi réel</t>
  </si>
  <si>
    <t>fyi</t>
  </si>
  <si>
    <t>uyi réel</t>
  </si>
  <si>
    <r>
      <t>r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=</t>
    </r>
  </si>
  <si>
    <r>
      <t>M</t>
    </r>
    <r>
      <rPr>
        <vertAlign val="subscript"/>
        <sz val="10"/>
        <rFont val="Times New Roman"/>
        <family val="1"/>
      </rPr>
      <t>tot</t>
    </r>
    <r>
      <rPr>
        <sz val="10"/>
        <rFont val="Times New Roman"/>
        <family val="1"/>
      </rPr>
      <t xml:space="preserve"> =</t>
    </r>
  </si>
  <si>
    <r>
      <t>a</t>
    </r>
    <r>
      <rPr>
        <vertAlign val="subscript"/>
        <sz val="10"/>
        <rFont val="Times New Roman"/>
        <family val="1"/>
      </rPr>
      <t xml:space="preserve">N </t>
    </r>
    <r>
      <rPr>
        <sz val="10"/>
        <rFont val="Times New Roman"/>
        <family val="1"/>
      </rPr>
      <t>=</t>
    </r>
  </si>
  <si>
    <r>
      <t>R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>(T) =</t>
    </r>
  </si>
  <si>
    <t>T =</t>
  </si>
  <si>
    <r>
      <t>D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</si>
  <si>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t>Sens X</t>
  </si>
  <si>
    <t>Sens Y</t>
  </si>
  <si>
    <r>
      <t>r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</si>
  <si>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r>
      <t>t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=</t>
    </r>
  </si>
  <si>
    <t>R(T) =</t>
  </si>
  <si>
    <t>H =</t>
  </si>
  <si>
    <t>h =</t>
  </si>
  <si>
    <t>J =</t>
  </si>
  <si>
    <t>I1 =</t>
  </si>
  <si>
    <t>I2 =</t>
  </si>
  <si>
    <r>
      <t>x</t>
    </r>
    <r>
      <rPr>
        <vertAlign val="subscript"/>
        <sz val="10"/>
        <rFont val="Times New Roman"/>
        <family val="1"/>
      </rPr>
      <t>cdgtot</t>
    </r>
    <r>
      <rPr>
        <sz val="10"/>
        <rFont val="Times New Roman"/>
        <family val="1"/>
      </rPr>
      <t xml:space="preserve"> =</t>
    </r>
  </si>
  <si>
    <t>m1 =</t>
  </si>
  <si>
    <t>m2 =</t>
  </si>
  <si>
    <t>l1 =</t>
  </si>
  <si>
    <t>l2 =</t>
  </si>
  <si>
    <t>2a =</t>
  </si>
  <si>
    <t>h</t>
  </si>
  <si>
    <t>l1</t>
  </si>
  <si>
    <t>l2</t>
  </si>
  <si>
    <t>2a</t>
  </si>
  <si>
    <t xml:space="preserve"> hl</t>
  </si>
  <si>
    <t>ep</t>
  </si>
  <si>
    <t>ep =</t>
  </si>
  <si>
    <t>hl =</t>
  </si>
  <si>
    <t>2c =</t>
  </si>
  <si>
    <t>m =</t>
  </si>
  <si>
    <t>I =</t>
  </si>
  <si>
    <r>
      <t>w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</si>
  <si>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y(a,0)</t>
    </r>
    <r>
      <rPr>
        <sz val="10"/>
        <rFont val="Times New Roman"/>
        <family val="1"/>
      </rPr>
      <t xml:space="preserve"> =</t>
    </r>
  </si>
  <si>
    <t>K =</t>
  </si>
  <si>
    <t>Ie =</t>
  </si>
  <si>
    <r>
      <t>x</t>
    </r>
    <r>
      <rPr>
        <vertAlign val="subscript"/>
        <sz val="12"/>
        <rFont val="Times New Roman"/>
        <family val="1"/>
      </rPr>
      <t>cdg1</t>
    </r>
    <r>
      <rPr>
        <sz val="12"/>
        <rFont val="Times New Roman"/>
        <family val="1"/>
      </rPr>
      <t xml:space="preserve"> =</t>
    </r>
  </si>
  <si>
    <r>
      <t>x</t>
    </r>
    <r>
      <rPr>
        <vertAlign val="subscript"/>
        <sz val="12"/>
        <rFont val="Times New Roman"/>
        <family val="1"/>
      </rPr>
      <t>cdg2</t>
    </r>
    <r>
      <rPr>
        <sz val="12"/>
        <rFont val="Times New Roman"/>
        <family val="1"/>
      </rPr>
      <t xml:space="preserve"> =</t>
    </r>
  </si>
  <si>
    <r>
      <t>W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</si>
  <si>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W2</t>
    </r>
    <r>
      <rPr>
        <sz val="12"/>
        <rFont val="Times New Roman"/>
        <family val="1"/>
      </rPr>
      <t xml:space="preserve"> =</t>
    </r>
  </si>
  <si>
    <r>
      <t>x</t>
    </r>
    <r>
      <rPr>
        <vertAlign val="subscript"/>
        <sz val="12"/>
        <rFont val="Times New Roman"/>
        <family val="1"/>
      </rPr>
      <t>cdgtot</t>
    </r>
    <r>
      <rPr>
        <sz val="12"/>
        <rFont val="Times New Roman"/>
        <family val="1"/>
      </rPr>
      <t xml:space="preserve"> =</t>
    </r>
  </si>
  <si>
    <r>
      <t>w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</t>
    </r>
  </si>
  <si>
    <r>
      <t>a</t>
    </r>
    <r>
      <rPr>
        <sz val="12"/>
        <rFont val="Times New Roman"/>
        <family val="1"/>
      </rPr>
      <t xml:space="preserve"> =</t>
    </r>
  </si>
  <si>
    <r>
      <t>y(a,0)</t>
    </r>
    <r>
      <rPr>
        <sz val="12"/>
        <rFont val="Times New Roman"/>
        <family val="1"/>
      </rPr>
      <t xml:space="preserve"> =</t>
    </r>
  </si>
  <si>
    <t>li</t>
  </si>
  <si>
    <t>2ai</t>
  </si>
  <si>
    <t>li+1</t>
  </si>
  <si>
    <t>2a1</t>
  </si>
  <si>
    <t>2a2</t>
  </si>
  <si>
    <t>hl1</t>
  </si>
  <si>
    <t>hli</t>
  </si>
  <si>
    <t>hli =</t>
  </si>
  <si>
    <t>li =</t>
  </si>
  <si>
    <t>2ai =</t>
  </si>
  <si>
    <t>Ji =</t>
  </si>
  <si>
    <t>Ii =</t>
  </si>
  <si>
    <t>i trumeaux</t>
  </si>
  <si>
    <t>2ci =</t>
  </si>
  <si>
    <t>Io =</t>
  </si>
  <si>
    <t>D =</t>
  </si>
  <si>
    <t>mi &lt; =</t>
  </si>
  <si>
    <t>Ji*Ci²/ai^3 =</t>
  </si>
  <si>
    <t>hl2</t>
  </si>
  <si>
    <r>
      <t>S</t>
    </r>
    <r>
      <rPr>
        <sz val="10"/>
        <rFont val="Times New Roman"/>
        <family val="1"/>
      </rPr>
      <t xml:space="preserve"> li + 2ai =</t>
    </r>
  </si>
  <si>
    <r>
      <t>x</t>
    </r>
    <r>
      <rPr>
        <vertAlign val="subscript"/>
        <sz val="10"/>
        <rFont val="Times New Roman"/>
        <family val="1"/>
      </rPr>
      <t>cdgi</t>
    </r>
    <r>
      <rPr>
        <sz val="10"/>
        <rFont val="Times New Roman"/>
        <family val="1"/>
      </rPr>
      <t xml:space="preserve"> =</t>
    </r>
  </si>
  <si>
    <r>
      <t>W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</si>
  <si>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cdgi</t>
    </r>
    <r>
      <rPr>
        <sz val="10"/>
        <rFont val="Times New Roman"/>
        <family val="1"/>
      </rPr>
      <t xml:space="preserve"> * </t>
    </r>
    <r>
      <rPr>
        <sz val="10"/>
        <rFont val="Symbol"/>
        <family val="1"/>
      </rPr>
      <t>W</t>
    </r>
    <r>
      <rPr>
        <sz val="10"/>
        <rFont val="Times New Roman"/>
        <family val="1"/>
      </rPr>
      <t>i =</t>
    </r>
  </si>
  <si>
    <r>
      <t>S</t>
    </r>
    <r>
      <rPr>
        <sz val="10"/>
        <rFont val="Times New Roman"/>
        <family val="1"/>
      </rPr>
      <t xml:space="preserve"> 2Ci&lt; =</t>
    </r>
  </si>
  <si>
    <r>
      <t>S</t>
    </r>
    <r>
      <rPr>
        <sz val="10"/>
        <rFont val="Times New Roman"/>
        <family val="1"/>
      </rPr>
      <t xml:space="preserve"> mi * 2ci =</t>
    </r>
  </si>
  <si>
    <r>
      <t>W</t>
    </r>
    <r>
      <rPr>
        <vertAlign val="subscript"/>
        <sz val="10"/>
        <rFont val="Times New Roman"/>
        <family val="1"/>
      </rPr>
      <t>tot</t>
    </r>
    <r>
      <rPr>
        <sz val="10"/>
        <rFont val="Times New Roman"/>
        <family val="1"/>
      </rPr>
      <t xml:space="preserve"> =</t>
    </r>
  </si>
  <si>
    <t>Inertie équivalente d'un voile constitué de n trumeaux (n&lt;10) :</t>
  </si>
  <si>
    <t>Inertie équivalente d'un voile constitué de deux trumeaux :</t>
  </si>
  <si>
    <t>Voile V4 bloc A</t>
  </si>
  <si>
    <t>m/s²</t>
  </si>
  <si>
    <t>sec.</t>
  </si>
  <si>
    <t>Zi</t>
  </si>
  <si>
    <t>Lx</t>
  </si>
  <si>
    <t>Ly</t>
  </si>
  <si>
    <t>Y1 cum.</t>
  </si>
  <si>
    <t>Ymi cum.</t>
  </si>
  <si>
    <t>Y2 cum.</t>
  </si>
  <si>
    <t>X1 cum.</t>
  </si>
  <si>
    <t>X2 cum.</t>
  </si>
  <si>
    <r>
      <t>X</t>
    </r>
    <r>
      <rPr>
        <vertAlign val="subscript"/>
        <sz val="10"/>
        <rFont val="Times New Roman"/>
        <family val="1"/>
      </rPr>
      <t xml:space="preserve">Mi </t>
    </r>
    <r>
      <rPr>
        <sz val="10"/>
        <rFont val="Times New Roman"/>
        <family val="1"/>
      </rPr>
      <t>cum.</t>
    </r>
  </si>
  <si>
    <t>e'iy</t>
  </si>
  <si>
    <t>e'ix</t>
  </si>
  <si>
    <t>X cdt</t>
  </si>
  <si>
    <t>Y cdt</t>
  </si>
  <si>
    <t>b</t>
  </si>
  <si>
    <t>Ymi /cdt</t>
  </si>
  <si>
    <t>Xmi /cdt</t>
  </si>
  <si>
    <t>Xmi /gen</t>
  </si>
  <si>
    <t>Ymi /gen</t>
  </si>
  <si>
    <t>niveaux :</t>
  </si>
  <si>
    <t>Voile</t>
  </si>
  <si>
    <t>Niveau</t>
  </si>
  <si>
    <t>tenir compte de 0,35*ftj*a*x :</t>
  </si>
  <si>
    <t>(si 0 =&gt; oui i.e. préfa, 1 non)</t>
  </si>
  <si>
    <t>Calcul poussée sismique</t>
  </si>
  <si>
    <t>K=</t>
  </si>
  <si>
    <t>ou</t>
  </si>
  <si>
    <t>Kad =</t>
  </si>
  <si>
    <t>Hypothèses générales note de calcul sismique suivant PS92</t>
  </si>
  <si>
    <t>Bâtiment classe B</t>
  </si>
  <si>
    <t>Zone de sismicité: Ib</t>
  </si>
  <si>
    <t>=&gt; an = 1.5 m/s²</t>
  </si>
  <si>
    <t>accélération nominale</t>
  </si>
  <si>
    <t>Sol :</t>
  </si>
  <si>
    <t>groupe a</t>
  </si>
  <si>
    <t>Site So</t>
  </si>
  <si>
    <r>
      <t>Coefficient d'amplification topographique</t>
    </r>
    <r>
      <rPr>
        <b/>
        <sz val="12"/>
        <rFont val="Symbol"/>
        <family val="1"/>
      </rPr>
      <t xml:space="preserve"> t</t>
    </r>
    <r>
      <rPr>
        <sz val="10"/>
        <rFont val="Arial"/>
        <family val="0"/>
      </rPr>
      <t xml:space="preserve"> =1</t>
    </r>
  </si>
  <si>
    <r>
      <t xml:space="preserve">f </t>
    </r>
    <r>
      <rPr>
        <sz val="10"/>
        <rFont val="Arial"/>
        <family val="0"/>
      </rPr>
      <t xml:space="preserve">= 30°   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1.8</t>
    </r>
  </si>
  <si>
    <t>Remblai</t>
  </si>
  <si>
    <t>Formation 2 (Arkoses)</t>
  </si>
  <si>
    <r>
      <t xml:space="preserve">f </t>
    </r>
    <r>
      <rPr>
        <sz val="10"/>
        <rFont val="Arial"/>
        <family val="0"/>
      </rPr>
      <t xml:space="preserve">= 25°   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 1.8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</si>
  <si>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</si>
  <si>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</si>
  <si>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</si>
  <si>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(T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</si>
  <si>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(T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</si>
  <si>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(T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 =</t>
    </r>
  </si>
  <si>
    <r>
      <t>1.12 / T</t>
    </r>
    <r>
      <rPr>
        <vertAlign val="superscript"/>
        <sz val="10"/>
        <rFont val="Arial"/>
        <family val="2"/>
      </rPr>
      <t>2/3</t>
    </r>
  </si>
  <si>
    <t>amortissement:</t>
  </si>
  <si>
    <r>
      <t>z</t>
    </r>
    <r>
      <rPr>
        <sz val="10"/>
        <rFont val="Arial"/>
        <family val="0"/>
      </rPr>
      <t xml:space="preserve"> =</t>
    </r>
  </si>
  <si>
    <t>dans les parkings</t>
  </si>
  <si>
    <t>dans les bâtiments</t>
  </si>
  <si>
    <r>
      <t>r</t>
    </r>
    <r>
      <rPr>
        <sz val="10"/>
        <rFont val="Arial"/>
        <family val="0"/>
      </rPr>
      <t xml:space="preserve"> = 1.09</t>
    </r>
  </si>
  <si>
    <r>
      <t>r</t>
    </r>
    <r>
      <rPr>
        <sz val="10"/>
        <rFont val="Arial"/>
        <family val="0"/>
      </rPr>
      <t xml:space="preserve"> = 1.00</t>
    </r>
  </si>
  <si>
    <t>Spectre de dimensionnement normalisé:</t>
  </si>
  <si>
    <t>rdj</t>
  </si>
  <si>
    <r>
      <t>S</t>
    </r>
    <r>
      <rPr>
        <b/>
        <sz val="10"/>
        <rFont val="Times New Roman"/>
        <family val="1"/>
      </rPr>
      <t xml:space="preserve"> fxi</t>
    </r>
  </si>
  <si>
    <r>
      <t>S</t>
    </r>
    <r>
      <rPr>
        <b/>
        <sz val="10"/>
        <rFont val="Times New Roman"/>
        <family val="1"/>
      </rPr>
      <t xml:space="preserve"> fyi</t>
    </r>
  </si>
  <si>
    <t>Efforts sismiques générés à chaque niveau ( article 6.6.134 PS92 )</t>
  </si>
  <si>
    <t>Iyi</t>
  </si>
  <si>
    <r>
      <t>% M</t>
    </r>
    <r>
      <rPr>
        <vertAlign val="subscript"/>
        <sz val="10"/>
        <rFont val="Times New Roman"/>
        <family val="1"/>
      </rPr>
      <t>mod</t>
    </r>
  </si>
  <si>
    <r>
      <t>M</t>
    </r>
    <r>
      <rPr>
        <vertAlign val="subscript"/>
        <sz val="10"/>
        <rFont val="Times New Roman"/>
        <family val="1"/>
      </rPr>
      <t>mod</t>
    </r>
  </si>
  <si>
    <t>Ixi</t>
  </si>
  <si>
    <t>Phaut</t>
  </si>
  <si>
    <t>Y1/cdt</t>
  </si>
  <si>
    <t>Y2/cdt</t>
  </si>
  <si>
    <t>X1/cdt</t>
  </si>
  <si>
    <t>X2/cdt</t>
  </si>
  <si>
    <r>
      <t>b</t>
    </r>
    <r>
      <rPr>
        <sz val="10"/>
        <rFont val="Arial"/>
        <family val="0"/>
      </rPr>
      <t xml:space="preserve"> (deg) =</t>
    </r>
  </si>
  <si>
    <r>
      <t>b</t>
    </r>
    <r>
      <rPr>
        <sz val="10"/>
        <rFont val="Arial"/>
        <family val="0"/>
      </rPr>
      <t xml:space="preserve"> (rad) =</t>
    </r>
  </si>
  <si>
    <t>PK Bât A B</t>
  </si>
  <si>
    <t>V1</t>
  </si>
  <si>
    <r>
      <t>l</t>
    </r>
    <r>
      <rPr>
        <sz val="10"/>
        <rFont val="Arial"/>
        <family val="0"/>
      </rPr>
      <t xml:space="preserve"> (deg) =</t>
    </r>
  </si>
  <si>
    <r>
      <t>l</t>
    </r>
    <r>
      <rPr>
        <sz val="10"/>
        <rFont val="Arial"/>
        <family val="0"/>
      </rPr>
      <t xml:space="preserve"> (rad) =</t>
    </r>
  </si>
  <si>
    <r>
      <t>d</t>
    </r>
    <r>
      <rPr>
        <sz val="10"/>
        <rFont val="Arial"/>
        <family val="0"/>
      </rPr>
      <t xml:space="preserve"> (deg) =</t>
    </r>
  </si>
  <si>
    <r>
      <t>d</t>
    </r>
    <r>
      <rPr>
        <sz val="10"/>
        <rFont val="Arial"/>
        <family val="0"/>
      </rPr>
      <t xml:space="preserve"> (rad) =</t>
    </r>
  </si>
  <si>
    <r>
      <t xml:space="preserve">t </t>
    </r>
    <r>
      <rPr>
        <sz val="10"/>
        <rFont val="Arial"/>
        <family val="0"/>
      </rPr>
      <t>=</t>
    </r>
  </si>
  <si>
    <r>
      <t>a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=</t>
    </r>
  </si>
  <si>
    <r>
      <t>s</t>
    </r>
    <r>
      <rPr>
        <sz val="10"/>
        <rFont val="Arial"/>
        <family val="0"/>
      </rPr>
      <t>h =</t>
    </r>
  </si>
  <si>
    <r>
      <t>s</t>
    </r>
    <r>
      <rPr>
        <sz val="10"/>
        <rFont val="Arial"/>
        <family val="0"/>
      </rPr>
      <t>v =</t>
    </r>
  </si>
  <si>
    <r>
      <t>q</t>
    </r>
    <r>
      <rPr>
        <sz val="10"/>
        <rFont val="Arial"/>
        <family val="0"/>
      </rPr>
      <t xml:space="preserve"> =</t>
    </r>
  </si>
  <si>
    <r>
      <t>b</t>
    </r>
    <r>
      <rPr>
        <sz val="10"/>
        <rFont val="Arial"/>
        <family val="0"/>
      </rPr>
      <t xml:space="preserve"> max (deg) =</t>
    </r>
  </si>
  <si>
    <r>
      <t>g</t>
    </r>
    <r>
      <rPr>
        <vertAlign val="subscript"/>
        <sz val="10"/>
        <rFont val="Arial"/>
        <family val="2"/>
      </rPr>
      <t>sol</t>
    </r>
    <r>
      <rPr>
        <sz val="10"/>
        <rFont val="Arial"/>
        <family val="0"/>
      </rPr>
      <t xml:space="preserve"> (T/m3) =</t>
    </r>
  </si>
  <si>
    <r>
      <t>g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(T/m3) =</t>
    </r>
  </si>
  <si>
    <t>Kad avec eau =</t>
  </si>
  <si>
    <r>
      <t>q</t>
    </r>
    <r>
      <rPr>
        <sz val="10"/>
        <rFont val="Arial"/>
        <family val="2"/>
      </rPr>
      <t>'</t>
    </r>
    <r>
      <rPr>
        <sz val="10"/>
        <rFont val="Arial"/>
        <family val="0"/>
      </rPr>
      <t xml:space="preserve"> =</t>
    </r>
  </si>
  <si>
    <r>
      <t xml:space="preserve">(1+/-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)*Kad =</t>
    </r>
  </si>
  <si>
    <r>
      <t xml:space="preserve">(1+/-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)*Kad / cos(</t>
    </r>
    <r>
      <rPr>
        <b/>
        <sz val="10"/>
        <rFont val="Symbol"/>
        <family val="1"/>
      </rPr>
      <t>b-l</t>
    </r>
    <r>
      <rPr>
        <b/>
        <sz val="10"/>
        <rFont val="Arial"/>
        <family val="2"/>
      </rPr>
      <t>) =</t>
    </r>
  </si>
  <si>
    <r>
      <t>(1+/-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)*Kad avec eau =</t>
    </r>
  </si>
  <si>
    <r>
      <t>(1+/-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)*Kad / cos(</t>
    </r>
    <r>
      <rPr>
        <sz val="10"/>
        <rFont val="Symbol"/>
        <family val="1"/>
      </rPr>
      <t>b-l</t>
    </r>
    <r>
      <rPr>
        <sz val="10"/>
        <rFont val="Arial"/>
        <family val="2"/>
      </rPr>
      <t>)  avec eau =</t>
    </r>
  </si>
  <si>
    <r>
      <t xml:space="preserve">1 -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V</t>
    </r>
  </si>
  <si>
    <r>
      <t xml:space="preserve">1 +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V</t>
    </r>
  </si>
  <si>
    <t xml:space="preserve"> </t>
  </si>
  <si>
    <t>C1 : Combinaison de calcul de la stabilité du mur : G + Q + E</t>
  </si>
  <si>
    <t>hw =</t>
  </si>
  <si>
    <t>hs =</t>
  </si>
  <si>
    <t>d =</t>
  </si>
  <si>
    <t>eo =</t>
  </si>
  <si>
    <t>ht =</t>
  </si>
  <si>
    <t>et =</t>
  </si>
  <si>
    <t>Cas C1a</t>
  </si>
  <si>
    <t>Cas C1b</t>
  </si>
  <si>
    <t>Cas C2a</t>
  </si>
  <si>
    <t>Cas C2b</t>
  </si>
  <si>
    <r>
      <t>p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sz val="10"/>
        <rFont val="Symbol"/>
        <family val="1"/>
      </rPr>
      <t xml:space="preserve"> =</t>
    </r>
  </si>
  <si>
    <r>
      <t>p</t>
    </r>
    <r>
      <rPr>
        <vertAlign val="subscript"/>
        <sz val="10"/>
        <rFont val="Arial"/>
        <family val="2"/>
      </rPr>
      <t>dq</t>
    </r>
    <r>
      <rPr>
        <sz val="10"/>
        <rFont val="Symbol"/>
        <family val="1"/>
      </rPr>
      <t xml:space="preserve"> =</t>
    </r>
  </si>
  <si>
    <t>L =</t>
  </si>
  <si>
    <r>
      <t>L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</si>
  <si>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p'</t>
    </r>
    <r>
      <rPr>
        <vertAlign val="subscript"/>
        <sz val="10"/>
        <rFont val="Arial"/>
        <family val="2"/>
      </rPr>
      <t>dq'(q+</t>
    </r>
    <r>
      <rPr>
        <vertAlign val="subscript"/>
        <sz val="10"/>
        <rFont val="Symbol"/>
        <family val="1"/>
      </rPr>
      <t>g)</t>
    </r>
    <r>
      <rPr>
        <sz val="10"/>
        <rFont val="Symbol"/>
        <family val="1"/>
      </rPr>
      <t xml:space="preserve"> =</t>
    </r>
  </si>
  <si>
    <r>
      <t>p'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'</t>
    </r>
    <r>
      <rPr>
        <sz val="10"/>
        <rFont val="Symbol"/>
        <family val="1"/>
      </rPr>
      <t xml:space="preserve"> =</t>
    </r>
  </si>
  <si>
    <r>
      <t xml:space="preserve">[.8 ou 1]xq +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x ( ht - hw )(1+/-</t>
    </r>
    <r>
      <rPr>
        <sz val="10"/>
        <rFont val="Symbol"/>
        <family val="1"/>
      </rPr>
      <t>s</t>
    </r>
    <r>
      <rPr>
        <sz val="10"/>
        <rFont val="Arial"/>
        <family val="0"/>
      </rPr>
      <t>v) =</t>
    </r>
  </si>
  <si>
    <t>Pw =</t>
  </si>
  <si>
    <t>T/ml</t>
  </si>
  <si>
    <r>
      <t>P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sz val="10"/>
        <rFont val="Symbol"/>
        <family val="1"/>
      </rPr>
      <t xml:space="preserve"> =</t>
    </r>
  </si>
  <si>
    <r>
      <t>P</t>
    </r>
    <r>
      <rPr>
        <vertAlign val="subscript"/>
        <sz val="10"/>
        <rFont val="Arial"/>
        <family val="2"/>
      </rPr>
      <t>dq</t>
    </r>
    <r>
      <rPr>
        <sz val="10"/>
        <rFont val="Symbol"/>
        <family val="1"/>
      </rPr>
      <t xml:space="preserve"> =</t>
    </r>
  </si>
  <si>
    <r>
      <t>P'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'</t>
    </r>
    <r>
      <rPr>
        <sz val="10"/>
        <rFont val="Symbol"/>
        <family val="1"/>
      </rPr>
      <t xml:space="preserve"> =</t>
    </r>
  </si>
  <si>
    <r>
      <t>P'</t>
    </r>
    <r>
      <rPr>
        <vertAlign val="subscript"/>
        <sz val="10"/>
        <rFont val="Arial"/>
        <family val="2"/>
      </rPr>
      <t>dq'(q+</t>
    </r>
    <r>
      <rPr>
        <vertAlign val="subscript"/>
        <sz val="10"/>
        <rFont val="Symbol"/>
        <family val="1"/>
      </rPr>
      <t>g)</t>
    </r>
    <r>
      <rPr>
        <sz val="10"/>
        <rFont val="Symbol"/>
        <family val="1"/>
      </rPr>
      <t xml:space="preserve"> =</t>
    </r>
  </si>
  <si>
    <t>X Pw =</t>
  </si>
  <si>
    <t>Y Pw =</t>
  </si>
  <si>
    <r>
      <t>X P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sz val="10"/>
        <rFont val="Symbol"/>
        <family val="1"/>
      </rPr>
      <t xml:space="preserve"> = </t>
    </r>
    <r>
      <rPr>
        <sz val="10"/>
        <rFont val="Arial"/>
        <family val="2"/>
      </rPr>
      <t>X P</t>
    </r>
    <r>
      <rPr>
        <vertAlign val="subscript"/>
        <sz val="10"/>
        <rFont val="Arial"/>
        <family val="2"/>
      </rPr>
      <t>dq</t>
    </r>
    <r>
      <rPr>
        <sz val="10"/>
        <rFont val="Arial"/>
        <family val="2"/>
      </rPr>
      <t xml:space="preserve"> =</t>
    </r>
  </si>
  <si>
    <r>
      <t>X P'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'</t>
    </r>
    <r>
      <rPr>
        <sz val="10"/>
        <rFont val="Symbol"/>
        <family val="1"/>
      </rPr>
      <t xml:space="preserve"> = </t>
    </r>
    <r>
      <rPr>
        <sz val="10"/>
        <rFont val="Arial"/>
        <family val="2"/>
      </rPr>
      <t>X P'</t>
    </r>
    <r>
      <rPr>
        <vertAlign val="subscript"/>
        <sz val="10"/>
        <rFont val="Arial"/>
        <family val="2"/>
      </rPr>
      <t>dq'(q+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)</t>
    </r>
    <r>
      <rPr>
        <sz val="10"/>
        <rFont val="Arial"/>
        <family val="2"/>
      </rPr>
      <t xml:space="preserve"> =</t>
    </r>
  </si>
  <si>
    <r>
      <t>Y P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sz val="10"/>
        <rFont val="Symbol"/>
        <family val="1"/>
      </rPr>
      <t xml:space="preserve"> = </t>
    </r>
    <r>
      <rPr>
        <sz val="10"/>
        <rFont val="Arial"/>
        <family val="2"/>
      </rPr>
      <t>Y P</t>
    </r>
    <r>
      <rPr>
        <vertAlign val="subscript"/>
        <sz val="10"/>
        <rFont val="Arial"/>
        <family val="2"/>
      </rPr>
      <t>dq</t>
    </r>
    <r>
      <rPr>
        <sz val="10"/>
        <rFont val="Arial"/>
        <family val="2"/>
      </rPr>
      <t xml:space="preserve"> =</t>
    </r>
  </si>
  <si>
    <r>
      <t>Y P'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'</t>
    </r>
    <r>
      <rPr>
        <sz val="10"/>
        <rFont val="Symbol"/>
        <family val="1"/>
      </rPr>
      <t xml:space="preserve"> = </t>
    </r>
    <r>
      <rPr>
        <sz val="10"/>
        <rFont val="Arial"/>
        <family val="2"/>
      </rPr>
      <t>Y P'</t>
    </r>
    <r>
      <rPr>
        <vertAlign val="subscript"/>
        <sz val="10"/>
        <rFont val="Arial"/>
        <family val="2"/>
      </rPr>
      <t>dq'(q+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)</t>
    </r>
    <r>
      <rPr>
        <sz val="10"/>
        <rFont val="Arial"/>
        <family val="2"/>
      </rPr>
      <t xml:space="preserve"> =</t>
    </r>
  </si>
  <si>
    <t>Pw suivant X =</t>
  </si>
  <si>
    <r>
      <t>P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 xml:space="preserve">suivant X </t>
    </r>
    <r>
      <rPr>
        <sz val="10"/>
        <rFont val="Symbol"/>
        <family val="1"/>
      </rPr>
      <t>=</t>
    </r>
  </si>
  <si>
    <r>
      <t>P</t>
    </r>
    <r>
      <rPr>
        <vertAlign val="subscript"/>
        <sz val="10"/>
        <rFont val="Arial"/>
        <family val="2"/>
      </rPr>
      <t>dq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suivant X</t>
    </r>
    <r>
      <rPr>
        <sz val="10"/>
        <rFont val="Symbol"/>
        <family val="1"/>
      </rPr>
      <t>=</t>
    </r>
  </si>
  <si>
    <r>
      <t>P'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'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suivant X</t>
    </r>
    <r>
      <rPr>
        <sz val="10"/>
        <rFont val="Symbol"/>
        <family val="1"/>
      </rPr>
      <t>=</t>
    </r>
  </si>
  <si>
    <r>
      <t>P'</t>
    </r>
    <r>
      <rPr>
        <vertAlign val="subscript"/>
        <sz val="10"/>
        <rFont val="Arial"/>
        <family val="2"/>
      </rPr>
      <t>dq'(q+</t>
    </r>
    <r>
      <rPr>
        <vertAlign val="subscript"/>
        <sz val="10"/>
        <rFont val="Symbol"/>
        <family val="1"/>
      </rPr>
      <t>g)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suivant X</t>
    </r>
    <r>
      <rPr>
        <sz val="10"/>
        <rFont val="Symbol"/>
        <family val="1"/>
      </rPr>
      <t>=</t>
    </r>
  </si>
  <si>
    <t>Pw suivant Y =</t>
  </si>
  <si>
    <r>
      <t>P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 xml:space="preserve">suivant Y </t>
    </r>
    <r>
      <rPr>
        <sz val="10"/>
        <rFont val="Symbol"/>
        <family val="1"/>
      </rPr>
      <t>=</t>
    </r>
  </si>
  <si>
    <r>
      <t>P</t>
    </r>
    <r>
      <rPr>
        <vertAlign val="subscript"/>
        <sz val="10"/>
        <rFont val="Arial"/>
        <family val="2"/>
      </rPr>
      <t>dq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 xml:space="preserve">suivant Y </t>
    </r>
    <r>
      <rPr>
        <sz val="10"/>
        <rFont val="Symbol"/>
        <family val="1"/>
      </rPr>
      <t>=</t>
    </r>
  </si>
  <si>
    <r>
      <t>P'</t>
    </r>
    <r>
      <rPr>
        <vertAlign val="subscript"/>
        <sz val="10"/>
        <rFont val="Arial"/>
        <family val="2"/>
      </rPr>
      <t>d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Arial"/>
        <family val="2"/>
      </rPr>
      <t>'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 xml:space="preserve">suivant Y </t>
    </r>
    <r>
      <rPr>
        <sz val="10"/>
        <rFont val="Symbol"/>
        <family val="1"/>
      </rPr>
      <t>=</t>
    </r>
  </si>
  <si>
    <r>
      <t>P'</t>
    </r>
    <r>
      <rPr>
        <vertAlign val="subscript"/>
        <sz val="10"/>
        <rFont val="Arial"/>
        <family val="2"/>
      </rPr>
      <t>dq'(q+</t>
    </r>
    <r>
      <rPr>
        <vertAlign val="subscript"/>
        <sz val="10"/>
        <rFont val="Symbol"/>
        <family val="1"/>
      </rPr>
      <t>g)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 xml:space="preserve">suivant Y </t>
    </r>
    <r>
      <rPr>
        <sz val="10"/>
        <rFont val="Symbol"/>
        <family val="1"/>
      </rPr>
      <t>=</t>
    </r>
  </si>
  <si>
    <t>P.P. 1 =</t>
  </si>
  <si>
    <t>P.P. 2 =</t>
  </si>
  <si>
    <t>P.P. 3 =</t>
  </si>
  <si>
    <t>P.P. 4 =</t>
  </si>
  <si>
    <t>P.P. 5 =</t>
  </si>
  <si>
    <t>P.P. 6 =</t>
  </si>
  <si>
    <t>P.P. 7 =</t>
  </si>
  <si>
    <r>
      <t>g</t>
    </r>
    <r>
      <rPr>
        <vertAlign val="subscript"/>
        <sz val="10"/>
        <rFont val="Arial"/>
        <family val="2"/>
      </rPr>
      <t>béton</t>
    </r>
    <r>
      <rPr>
        <sz val="10"/>
        <rFont val="Arial"/>
        <family val="0"/>
      </rPr>
      <t xml:space="preserve"> (T/m3) =</t>
    </r>
  </si>
  <si>
    <t>X P.P. 1 =</t>
  </si>
  <si>
    <t>X P.P. 2 =</t>
  </si>
  <si>
    <t>X P.P. 3 =</t>
  </si>
  <si>
    <t>X P.P. 4 =</t>
  </si>
  <si>
    <t>X P.P. 5 =</t>
  </si>
  <si>
    <t>X P.P. 6 =</t>
  </si>
  <si>
    <t>X P.P. 7 =</t>
  </si>
  <si>
    <r>
      <t>X</t>
    </r>
    <r>
      <rPr>
        <sz val="10"/>
        <rFont val="Symbol"/>
        <family val="1"/>
      </rPr>
      <t xml:space="preserve"> S</t>
    </r>
    <r>
      <rPr>
        <sz val="10"/>
        <rFont val="Arial"/>
        <family val="0"/>
      </rPr>
      <t>q =</t>
    </r>
  </si>
  <si>
    <t>V  =</t>
  </si>
  <si>
    <t>N  =</t>
  </si>
  <si>
    <r>
      <t>S</t>
    </r>
    <r>
      <rPr>
        <sz val="10"/>
        <rFont val="Arial"/>
        <family val="0"/>
      </rPr>
      <t>q x [1 ou .8]=</t>
    </r>
  </si>
  <si>
    <r>
      <t>j</t>
    </r>
    <r>
      <rPr>
        <sz val="10"/>
        <rFont val="Arial"/>
        <family val="0"/>
      </rPr>
      <t xml:space="preserve"> sol contre écran (deg) =</t>
    </r>
  </si>
  <si>
    <r>
      <t>j</t>
    </r>
    <r>
      <rPr>
        <sz val="10"/>
        <rFont val="Arial"/>
        <family val="0"/>
      </rPr>
      <t xml:space="preserve"> sol contre écran (rad) =</t>
    </r>
  </si>
  <si>
    <r>
      <t>j</t>
    </r>
    <r>
      <rPr>
        <sz val="10"/>
        <rFont val="Arial"/>
        <family val="0"/>
      </rPr>
      <t xml:space="preserve"> sol d'assise de fondation (deg) =</t>
    </r>
  </si>
  <si>
    <r>
      <t>j</t>
    </r>
    <r>
      <rPr>
        <sz val="10"/>
        <rFont val="Arial"/>
        <family val="0"/>
      </rPr>
      <t xml:space="preserve"> sol d'assise de fondation (rad) =</t>
    </r>
  </si>
  <si>
    <t>deg</t>
  </si>
  <si>
    <t>rad</t>
  </si>
  <si>
    <t>bars</t>
  </si>
  <si>
    <r>
      <t>s</t>
    </r>
    <r>
      <rPr>
        <sz val="10"/>
        <rFont val="Arial"/>
        <family val="0"/>
      </rPr>
      <t xml:space="preserve"> sol fondation ELU admissible =</t>
    </r>
  </si>
  <si>
    <r>
      <t>s</t>
    </r>
    <r>
      <rPr>
        <sz val="10"/>
        <rFont val="Arial"/>
        <family val="0"/>
      </rPr>
      <t xml:space="preserve"> sol fondation ELS admissible =</t>
    </r>
  </si>
  <si>
    <r>
      <t>s</t>
    </r>
    <r>
      <rPr>
        <b/>
        <sz val="10"/>
        <rFont val="Arial"/>
        <family val="0"/>
      </rPr>
      <t xml:space="preserve"> sol fondation séisme admissible =</t>
    </r>
  </si>
  <si>
    <r>
      <t xml:space="preserve">M </t>
    </r>
    <r>
      <rPr>
        <b/>
        <vertAlign val="subscript"/>
        <sz val="10"/>
        <rFont val="Arial"/>
        <family val="2"/>
      </rPr>
      <t>/ 0</t>
    </r>
    <r>
      <rPr>
        <b/>
        <sz val="10"/>
        <rFont val="Arial"/>
        <family val="0"/>
      </rPr>
      <t xml:space="preserve"> =</t>
    </r>
  </si>
  <si>
    <r>
      <t xml:space="preserve">N x tg( </t>
    </r>
    <r>
      <rPr>
        <b/>
        <sz val="10"/>
        <rFont val="Symbol"/>
        <family val="1"/>
      </rPr>
      <t>j</t>
    </r>
    <r>
      <rPr>
        <b/>
        <vertAlign val="subscript"/>
        <sz val="10"/>
        <rFont val="Arial"/>
        <family val="2"/>
      </rPr>
      <t>assise fond</t>
    </r>
    <r>
      <rPr>
        <b/>
        <sz val="10"/>
        <rFont val="Arial"/>
        <family val="0"/>
      </rPr>
      <t xml:space="preserve"> ) / 1.2 =</t>
    </r>
  </si>
  <si>
    <r>
      <t>s</t>
    </r>
    <r>
      <rPr>
        <b/>
        <sz val="10"/>
        <rFont val="Arial"/>
        <family val="0"/>
      </rPr>
      <t xml:space="preserve">  =</t>
    </r>
  </si>
  <si>
    <t>C2 : Combi. de calc. de la résistance intèrne de l'ouvrage : G + 0.8xQ + E</t>
  </si>
  <si>
    <r>
      <t xml:space="preserve">Cas a: 1 +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 xml:space="preserve">v  </t>
    </r>
    <r>
      <rPr>
        <sz val="10"/>
        <rFont val="Arial"/>
        <family val="2"/>
      </rPr>
      <t xml:space="preserve"> ou   Cas b: 1 - sv</t>
    </r>
  </si>
  <si>
    <t xml:space="preserve">Différents cas : </t>
  </si>
  <si>
    <r>
      <t>M en pied de voile =</t>
    </r>
    <r>
      <rPr>
        <sz val="10"/>
        <rFont val="Arial"/>
        <family val="0"/>
      </rPr>
      <t xml:space="preserve"> </t>
    </r>
  </si>
  <si>
    <t>VERIFICATION DES MACONNERIES AU SEISME</t>
  </si>
  <si>
    <t>hauteur (m):</t>
  </si>
  <si>
    <t>effort horizontal total (T):</t>
  </si>
  <si>
    <t>contrainte admissible (Mpa):</t>
  </si>
  <si>
    <t>séisme longitudinal</t>
  </si>
  <si>
    <t>voile</t>
  </si>
  <si>
    <t>longueur (m)</t>
  </si>
  <si>
    <t>épaisseur (m)</t>
  </si>
  <si>
    <t>longueur diagonale (m)</t>
  </si>
  <si>
    <t>hauteur de la bielle (m)</t>
  </si>
  <si>
    <t>pente</t>
  </si>
  <si>
    <t>% d'effort horizontal</t>
  </si>
  <si>
    <t>H (T)</t>
  </si>
  <si>
    <t>effort vertical (T)</t>
  </si>
  <si>
    <t>compression bielle (T)</t>
  </si>
  <si>
    <t>contrainte (Mpa)</t>
  </si>
  <si>
    <t>vérification</t>
  </si>
  <si>
    <t>vérification complémentaire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</si>
  <si>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</si>
  <si>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</si>
  <si>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</si>
  <si>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</si>
  <si>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</si>
  <si>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</si>
  <si>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</si>
  <si>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</si>
  <si>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</si>
  <si>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</si>
  <si>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</si>
  <si>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séisme transversal</t>
  </si>
  <si>
    <t>combinaison</t>
  </si>
  <si>
    <t>1.0*Sl + 0.3*St</t>
  </si>
  <si>
    <t>0.3*Sl+1.0*St</t>
  </si>
  <si>
    <t>Bât. H</t>
  </si>
  <si>
    <t>V17 bloc 3</t>
  </si>
  <si>
    <t>indice A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</si>
</sst>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0"/>
    <numFmt numFmtId="166" formatCode="0.0000"/>
    <numFmt numFmtId="167" formatCode="0.00000"/>
    <numFmt numFmtId="168" formatCode="0.000E+00"/>
    <numFmt numFmtId="169" formatCode="0.0E+00"/>
    <numFmt numFmtId="170" formatCode="0.000000"/>
    <numFmt numFmtId="171" formatCode="0.000000000"/>
    <numFmt numFmtId="172" formatCode="0.00000000"/>
    <numFmt numFmtId="173" formatCode="0.0000000"/>
  </numFmts>
  <fonts count="47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vertAlign val="subscript"/>
      <sz val="10"/>
      <name val="Times New Roman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Symbol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Symbol"/>
      <family val="1"/>
    </font>
    <font>
      <b/>
      <vertAlign val="subscript"/>
      <sz val="8"/>
      <name val="Tahoma"/>
      <family val="2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vertAlign val="subscript"/>
      <sz val="10"/>
      <name val="Tahoma"/>
      <family val="2"/>
    </font>
    <font>
      <sz val="10"/>
      <name val="Tahoma"/>
      <family val="0"/>
    </font>
    <font>
      <vertAlign val="subscript"/>
      <sz val="10"/>
      <name val="Symbol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Symbol"/>
      <family val="1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6"/>
      <name val="Symbol"/>
      <family val="1"/>
    </font>
    <font>
      <b/>
      <sz val="16"/>
      <name val="Times New Roman"/>
      <family val="1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Symbol"/>
      <family val="1"/>
    </font>
    <font>
      <b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2" borderId="0" xfId="0" applyNumberFormat="1" applyFont="1" applyFill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2" borderId="5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4" borderId="0" xfId="0" applyFont="1" applyFill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7" xfId="0" applyFont="1" applyBorder="1" applyAlignment="1">
      <alignment/>
    </xf>
    <xf numFmtId="0" fontId="11" fillId="2" borderId="15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" fillId="0" borderId="0" xfId="0" applyFont="1" applyBorder="1" applyAlignment="1">
      <alignment/>
    </xf>
    <xf numFmtId="1" fontId="1" fillId="2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2" borderId="16" xfId="0" applyFont="1" applyFill="1" applyBorder="1" applyAlignment="1">
      <alignment/>
    </xf>
    <xf numFmtId="0" fontId="8" fillId="0" borderId="17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8" fillId="0" borderId="13" xfId="0" applyFont="1" applyBorder="1" applyAlignment="1">
      <alignment horizontal="right"/>
    </xf>
    <xf numFmtId="2" fontId="1" fillId="3" borderId="19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6" xfId="0" applyFont="1" applyBorder="1" applyAlignment="1">
      <alignment/>
    </xf>
    <xf numFmtId="2" fontId="1" fillId="0" borderId="19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2" fontId="11" fillId="0" borderId="1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6" fontId="1" fillId="2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0" fillId="2" borderId="0" xfId="0" applyNumberFormat="1" applyFont="1" applyFill="1" applyAlignment="1">
      <alignment/>
    </xf>
    <xf numFmtId="0" fontId="20" fillId="0" borderId="23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3" xfId="0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22" xfId="0" applyFont="1" applyBorder="1" applyAlignment="1">
      <alignment/>
    </xf>
    <xf numFmtId="166" fontId="20" fillId="0" borderId="0" xfId="0" applyNumberFormat="1" applyFont="1" applyAlignment="1">
      <alignment/>
    </xf>
    <xf numFmtId="0" fontId="20" fillId="0" borderId="1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6" fontId="20" fillId="0" borderId="0" xfId="0" applyNumberFormat="1" applyFont="1" applyFill="1" applyAlignment="1">
      <alignment/>
    </xf>
    <xf numFmtId="0" fontId="24" fillId="0" borderId="24" xfId="0" applyFont="1" applyBorder="1" applyAlignment="1">
      <alignment/>
    </xf>
    <xf numFmtId="166" fontId="25" fillId="0" borderId="2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Fill="1" applyAlignment="1">
      <alignment/>
    </xf>
    <xf numFmtId="0" fontId="11" fillId="0" borderId="24" xfId="0" applyFont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1" fillId="0" borderId="28" xfId="0" applyFont="1" applyFill="1" applyBorder="1" applyAlignment="1">
      <alignment/>
    </xf>
    <xf numFmtId="165" fontId="1" fillId="0" borderId="29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33" xfId="0" applyFont="1" applyBorder="1" applyAlignment="1">
      <alignment horizontal="center"/>
    </xf>
    <xf numFmtId="165" fontId="1" fillId="0" borderId="34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2" borderId="26" xfId="0" applyNumberFormat="1" applyFont="1" applyFill="1" applyBorder="1" applyAlignment="1">
      <alignment/>
    </xf>
    <xf numFmtId="2" fontId="1" fillId="2" borderId="33" xfId="0" applyNumberFormat="1" applyFont="1" applyFill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69" fontId="1" fillId="0" borderId="0" xfId="0" applyNumberFormat="1" applyFont="1" applyAlignment="1">
      <alignment/>
    </xf>
    <xf numFmtId="0" fontId="31" fillId="3" borderId="0" xfId="0" applyFont="1" applyFill="1" applyBorder="1" applyAlignment="1">
      <alignment horizontal="left"/>
    </xf>
    <xf numFmtId="0" fontId="31" fillId="0" borderId="0" xfId="0" applyFont="1" applyAlignment="1">
      <alignment/>
    </xf>
    <xf numFmtId="165" fontId="1" fillId="2" borderId="36" xfId="0" applyNumberFormat="1" applyFont="1" applyFill="1" applyBorder="1" applyAlignment="1">
      <alignment horizontal="right"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64" fontId="1" fillId="0" borderId="0" xfId="0" applyNumberFormat="1" applyFont="1" applyFill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2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0" fillId="0" borderId="26" xfId="0" applyBorder="1" applyAlignment="1">
      <alignment/>
    </xf>
    <xf numFmtId="2" fontId="0" fillId="0" borderId="2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 vertic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4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30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169" fontId="1" fillId="0" borderId="29" xfId="0" applyNumberFormat="1" applyFont="1" applyBorder="1" applyAlignment="1">
      <alignment/>
    </xf>
    <xf numFmtId="169" fontId="1" fillId="0" borderId="34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" fontId="0" fillId="2" borderId="0" xfId="0" applyNumberFormat="1" applyFill="1" applyBorder="1" applyAlignment="1">
      <alignment/>
    </xf>
    <xf numFmtId="0" fontId="22" fillId="0" borderId="29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37" xfId="0" applyNumberFormat="1" applyFont="1" applyBorder="1" applyAlignment="1">
      <alignment horizontal="center"/>
    </xf>
    <xf numFmtId="0" fontId="33" fillId="0" borderId="38" xfId="0" applyFont="1" applyBorder="1" applyAlignment="1">
      <alignment/>
    </xf>
    <xf numFmtId="2" fontId="0" fillId="0" borderId="39" xfId="0" applyNumberFormat="1" applyBorder="1" applyAlignment="1">
      <alignment horizontal="center"/>
    </xf>
    <xf numFmtId="0" fontId="33" fillId="0" borderId="40" xfId="0" applyFont="1" applyBorder="1" applyAlignment="1">
      <alignment/>
    </xf>
    <xf numFmtId="2" fontId="0" fillId="0" borderId="41" xfId="0" applyNumberFormat="1" applyBorder="1" applyAlignment="1">
      <alignment horizontal="center"/>
    </xf>
    <xf numFmtId="0" fontId="8" fillId="0" borderId="42" xfId="0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33" fillId="0" borderId="36" xfId="0" applyNumberFormat="1" applyFont="1" applyBorder="1" applyAlignment="1">
      <alignment/>
    </xf>
    <xf numFmtId="164" fontId="33" fillId="0" borderId="6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164" fontId="33" fillId="0" borderId="9" xfId="0" applyNumberFormat="1" applyFont="1" applyBorder="1" applyAlignment="1">
      <alignment/>
    </xf>
    <xf numFmtId="164" fontId="33" fillId="0" borderId="4" xfId="0" applyNumberFormat="1" applyFont="1" applyBorder="1" applyAlignment="1">
      <alignment/>
    </xf>
    <xf numFmtId="2" fontId="44" fillId="0" borderId="0" xfId="0" applyNumberFormat="1" applyFont="1" applyAlignment="1">
      <alignment/>
    </xf>
    <xf numFmtId="2" fontId="0" fillId="0" borderId="31" xfId="0" applyNumberFormat="1" applyBorder="1" applyAlignment="1">
      <alignment/>
    </xf>
    <xf numFmtId="0" fontId="0" fillId="0" borderId="0" xfId="0" applyBorder="1" applyAlignment="1">
      <alignment/>
    </xf>
    <xf numFmtId="0" fontId="10" fillId="0" borderId="13" xfId="0" applyFont="1" applyBorder="1" applyAlignment="1">
      <alignment/>
    </xf>
    <xf numFmtId="0" fontId="8" fillId="0" borderId="11" xfId="0" applyFont="1" applyBorder="1" applyAlignment="1">
      <alignment/>
    </xf>
    <xf numFmtId="1" fontId="0" fillId="2" borderId="16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33" fillId="0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2" fontId="33" fillId="0" borderId="43" xfId="0" applyNumberFormat="1" applyFont="1" applyBorder="1" applyAlignment="1">
      <alignment horizontal="center" vertical="center"/>
    </xf>
    <xf numFmtId="2" fontId="33" fillId="0" borderId="44" xfId="0" applyNumberFormat="1" applyFont="1" applyBorder="1" applyAlignment="1">
      <alignment vertical="center"/>
    </xf>
    <xf numFmtId="0" fontId="8" fillId="0" borderId="26" xfId="0" applyFont="1" applyBorder="1" applyAlignment="1">
      <alignment/>
    </xf>
    <xf numFmtId="164" fontId="0" fillId="0" borderId="28" xfId="0" applyNumberFormat="1" applyBorder="1" applyAlignment="1">
      <alignment/>
    </xf>
    <xf numFmtId="0" fontId="8" fillId="0" borderId="30" xfId="0" applyFont="1" applyBorder="1" applyAlignment="1">
      <alignment/>
    </xf>
    <xf numFmtId="164" fontId="0" fillId="0" borderId="32" xfId="0" applyNumberFormat="1" applyBorder="1" applyAlignment="1">
      <alignment/>
    </xf>
    <xf numFmtId="0" fontId="0" fillId="0" borderId="18" xfId="0" applyBorder="1" applyAlignment="1">
      <alignment/>
    </xf>
    <xf numFmtId="2" fontId="0" fillId="2" borderId="19" xfId="0" applyNumberFormat="1" applyFill="1" applyBorder="1" applyAlignment="1">
      <alignment/>
    </xf>
    <xf numFmtId="165" fontId="33" fillId="0" borderId="44" xfId="0" applyNumberFormat="1" applyFont="1" applyBorder="1" applyAlignment="1">
      <alignment vertical="center"/>
    </xf>
    <xf numFmtId="0" fontId="0" fillId="0" borderId="26" xfId="0" applyFont="1" applyBorder="1" applyAlignment="1">
      <alignment/>
    </xf>
    <xf numFmtId="164" fontId="0" fillId="0" borderId="33" xfId="0" applyNumberFormat="1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NumberFormat="1" applyFill="1" applyBorder="1" applyAlignment="1">
      <alignment/>
    </xf>
    <xf numFmtId="0" fontId="8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33" fillId="0" borderId="46" xfId="0" applyNumberFormat="1" applyFont="1" applyBorder="1" applyAlignment="1">
      <alignment/>
    </xf>
    <xf numFmtId="2" fontId="0" fillId="0" borderId="46" xfId="0" applyNumberFormat="1" applyBorder="1" applyAlignment="1">
      <alignment/>
    </xf>
    <xf numFmtId="2" fontId="0" fillId="0" borderId="42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2" fontId="0" fillId="0" borderId="29" xfId="0" applyNumberFormat="1" applyBorder="1" applyAlignment="1">
      <alignment/>
    </xf>
    <xf numFmtId="0" fontId="0" fillId="0" borderId="29" xfId="0" applyBorder="1" applyAlignment="1">
      <alignment horizontal="left"/>
    </xf>
    <xf numFmtId="2" fontId="4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0" xfId="0" applyNumberFormat="1" applyBorder="1" applyAlignment="1">
      <alignment horizontal="left"/>
    </xf>
    <xf numFmtId="0" fontId="33" fillId="0" borderId="48" xfId="0" applyFont="1" applyBorder="1" applyAlignment="1">
      <alignment/>
    </xf>
    <xf numFmtId="0" fontId="33" fillId="0" borderId="49" xfId="0" applyFont="1" applyBorder="1" applyAlignment="1">
      <alignment vertical="center"/>
    </xf>
    <xf numFmtId="0" fontId="33" fillId="0" borderId="50" xfId="0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33" fillId="0" borderId="52" xfId="0" applyFont="1" applyBorder="1" applyAlignment="1">
      <alignment/>
    </xf>
    <xf numFmtId="2" fontId="0" fillId="0" borderId="53" xfId="0" applyNumberFormat="1" applyBorder="1" applyAlignment="1">
      <alignment horizontal="center"/>
    </xf>
    <xf numFmtId="165" fontId="33" fillId="0" borderId="53" xfId="0" applyNumberFormat="1" applyFont="1" applyBorder="1" applyAlignment="1">
      <alignment vertical="center"/>
    </xf>
    <xf numFmtId="0" fontId="33" fillId="0" borderId="54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 wrapText="1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/>
    </xf>
    <xf numFmtId="0" fontId="0" fillId="0" borderId="46" xfId="0" applyBorder="1" applyAlignment="1">
      <alignment/>
    </xf>
    <xf numFmtId="0" fontId="33" fillId="5" borderId="8" xfId="0" applyFon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33" fillId="0" borderId="36" xfId="0" applyNumberFormat="1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3" fillId="0" borderId="6" xfId="0" applyNumberFormat="1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5" fillId="0" borderId="0" xfId="0" applyFont="1" applyAlignment="1">
      <alignment horizontal="left"/>
    </xf>
    <xf numFmtId="0" fontId="1" fillId="0" borderId="5" xfId="0" applyFont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0" borderId="5" xfId="0" applyFont="1" applyBorder="1" applyAlignment="1">
      <alignment horizontal="center" textRotation="90"/>
    </xf>
    <xf numFmtId="0" fontId="8" fillId="2" borderId="5" xfId="0" applyFont="1" applyFill="1" applyBorder="1" applyAlignment="1">
      <alignment horizontal="center" textRotation="90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5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20" fillId="0" borderId="0" xfId="0" applyFont="1" applyAlignment="1">
      <alignment horizontal="center"/>
    </xf>
    <xf numFmtId="0" fontId="20" fillId="0" borderId="2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5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18.emf" /><Relationship Id="rId6" Type="http://schemas.openxmlformats.org/officeDocument/2006/relationships/image" Target="../media/image22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Relationship Id="rId9" Type="http://schemas.openxmlformats.org/officeDocument/2006/relationships/image" Target="../media/image12.emf" /><Relationship Id="rId10" Type="http://schemas.openxmlformats.org/officeDocument/2006/relationships/image" Target="../media/image17.emf" /><Relationship Id="rId11" Type="http://schemas.openxmlformats.org/officeDocument/2006/relationships/image" Target="../media/image14.emf" /><Relationship Id="rId12" Type="http://schemas.openxmlformats.org/officeDocument/2006/relationships/image" Target="../media/image20.emf" /><Relationship Id="rId13" Type="http://schemas.openxmlformats.org/officeDocument/2006/relationships/image" Target="../media/image13.emf" /><Relationship Id="rId1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13</xdr:row>
      <xdr:rowOff>19050</xdr:rowOff>
    </xdr:from>
    <xdr:to>
      <xdr:col>4</xdr:col>
      <xdr:colOff>19050</xdr:colOff>
      <xdr:row>14</xdr:row>
      <xdr:rowOff>47625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162175"/>
          <a:ext cx="1905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19050</xdr:rowOff>
    </xdr:from>
    <xdr:to>
      <xdr:col>4</xdr:col>
      <xdr:colOff>19050</xdr:colOff>
      <xdr:row>15</xdr:row>
      <xdr:rowOff>47625</xdr:rowOff>
    </xdr:to>
    <xdr:pic>
      <xdr:nvPicPr>
        <xdr:cNvPr id="2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24100"/>
          <a:ext cx="1905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34</xdr:row>
      <xdr:rowOff>0</xdr:rowOff>
    </xdr:from>
    <xdr:to>
      <xdr:col>5</xdr:col>
      <xdr:colOff>390525</xdr:colOff>
      <xdr:row>34</xdr:row>
      <xdr:rowOff>0</xdr:rowOff>
    </xdr:to>
    <xdr:pic>
      <xdr:nvPicPr>
        <xdr:cNvPr id="3" name="Fram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5800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9</xdr:col>
      <xdr:colOff>266700</xdr:colOff>
      <xdr:row>2</xdr:row>
      <xdr:rowOff>123825</xdr:rowOff>
    </xdr:from>
    <xdr:ext cx="733425" cy="990600"/>
    <xdr:grpSp>
      <xdr:nvGrpSpPr>
        <xdr:cNvPr id="4" name="Group 40"/>
        <xdr:cNvGrpSpPr>
          <a:grpSpLocks/>
        </xdr:cNvGrpSpPr>
      </xdr:nvGrpSpPr>
      <xdr:grpSpPr>
        <a:xfrm>
          <a:off x="4181475" y="485775"/>
          <a:ext cx="733425" cy="990600"/>
          <a:chOff x="454" y="29"/>
          <a:chExt cx="77" cy="104"/>
        </a:xfrm>
        <a:solidFill>
          <a:srgbClr val="FFFFFF"/>
        </a:solidFill>
      </xdr:grpSpPr>
      <xdr:sp>
        <xdr:nvSpPr>
          <xdr:cNvPr id="5" name="Rectangle 14"/>
          <xdr:cNvSpPr>
            <a:spLocks/>
          </xdr:cNvSpPr>
        </xdr:nvSpPr>
        <xdr:spPr>
          <a:xfrm>
            <a:off x="455" y="33"/>
            <a:ext cx="53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5"/>
          <xdr:cNvSpPr>
            <a:spLocks/>
          </xdr:cNvSpPr>
        </xdr:nvSpPr>
        <xdr:spPr>
          <a:xfrm>
            <a:off x="454" y="131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7"/>
          <xdr:cNvSpPr>
            <a:spLocks/>
          </xdr:cNvSpPr>
        </xdr:nvSpPr>
        <xdr:spPr>
          <a:xfrm rot="780000" flipV="1">
            <a:off x="523" y="119"/>
            <a:ext cx="8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 flipV="1">
            <a:off x="531" y="29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twoCellAnchor editAs="oneCell">
    <xdr:from>
      <xdr:col>0</xdr:col>
      <xdr:colOff>57150</xdr:colOff>
      <xdr:row>10</xdr:row>
      <xdr:rowOff>9525</xdr:rowOff>
    </xdr:from>
    <xdr:to>
      <xdr:col>4</xdr:col>
      <xdr:colOff>19050</xdr:colOff>
      <xdr:row>11</xdr:row>
      <xdr:rowOff>38100</xdr:rowOff>
    </xdr:to>
    <xdr:pic>
      <xdr:nvPicPr>
        <xdr:cNvPr id="9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666875"/>
          <a:ext cx="1905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</xdr:row>
      <xdr:rowOff>9525</xdr:rowOff>
    </xdr:from>
    <xdr:to>
      <xdr:col>4</xdr:col>
      <xdr:colOff>19050</xdr:colOff>
      <xdr:row>6</xdr:row>
      <xdr:rowOff>38100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857250"/>
          <a:ext cx="1905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9525</xdr:rowOff>
    </xdr:from>
    <xdr:to>
      <xdr:col>8</xdr:col>
      <xdr:colOff>209550</xdr:colOff>
      <xdr:row>7</xdr:row>
      <xdr:rowOff>38100</xdr:rowOff>
    </xdr:to>
    <xdr:pic>
      <xdr:nvPicPr>
        <xdr:cNvPr id="11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1019175"/>
          <a:ext cx="3676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9525</xdr:rowOff>
    </xdr:from>
    <xdr:to>
      <xdr:col>8</xdr:col>
      <xdr:colOff>209550</xdr:colOff>
      <xdr:row>8</xdr:row>
      <xdr:rowOff>38100</xdr:rowOff>
    </xdr:to>
    <xdr:pic>
      <xdr:nvPicPr>
        <xdr:cNvPr id="12" name="OptionButton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1181100"/>
          <a:ext cx="3676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9525</xdr:rowOff>
    </xdr:from>
    <xdr:to>
      <xdr:col>4</xdr:col>
      <xdr:colOff>19050</xdr:colOff>
      <xdr:row>12</xdr:row>
      <xdr:rowOff>38100</xdr:rowOff>
    </xdr:to>
    <xdr:pic>
      <xdr:nvPicPr>
        <xdr:cNvPr id="13" name="OptionButton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828800"/>
          <a:ext cx="1905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9525</xdr:rowOff>
    </xdr:from>
    <xdr:to>
      <xdr:col>4</xdr:col>
      <xdr:colOff>19050</xdr:colOff>
      <xdr:row>10</xdr:row>
      <xdr:rowOff>38100</xdr:rowOff>
    </xdr:to>
    <xdr:pic>
      <xdr:nvPicPr>
        <xdr:cNvPr id="14" name="OptionButton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504950"/>
          <a:ext cx="1905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16</xdr:row>
      <xdr:rowOff>66675</xdr:rowOff>
    </xdr:from>
    <xdr:to>
      <xdr:col>14</xdr:col>
      <xdr:colOff>0</xdr:colOff>
      <xdr:row>22</xdr:row>
      <xdr:rowOff>171450</xdr:rowOff>
    </xdr:to>
    <xdr:grpSp>
      <xdr:nvGrpSpPr>
        <xdr:cNvPr id="15" name="Group 264"/>
        <xdr:cNvGrpSpPr>
          <a:grpSpLocks/>
        </xdr:cNvGrpSpPr>
      </xdr:nvGrpSpPr>
      <xdr:grpSpPr>
        <a:xfrm>
          <a:off x="4400550" y="2695575"/>
          <a:ext cx="1466850" cy="1143000"/>
          <a:chOff x="429" y="624"/>
          <a:chExt cx="157" cy="110"/>
        </a:xfrm>
        <a:solidFill>
          <a:srgbClr val="FFFFFF"/>
        </a:solidFill>
      </xdr:grpSpPr>
      <xdr:grpSp>
        <xdr:nvGrpSpPr>
          <xdr:cNvPr id="16" name="Group 263"/>
          <xdr:cNvGrpSpPr>
            <a:grpSpLocks/>
          </xdr:cNvGrpSpPr>
        </xdr:nvGrpSpPr>
        <xdr:grpSpPr>
          <a:xfrm>
            <a:off x="429" y="645"/>
            <a:ext cx="157" cy="89"/>
            <a:chOff x="445" y="645"/>
            <a:chExt cx="157" cy="89"/>
          </a:xfrm>
          <a:solidFill>
            <a:srgbClr val="FFFFFF"/>
          </a:solidFill>
        </xdr:grpSpPr>
        <xdr:sp>
          <xdr:nvSpPr>
            <xdr:cNvPr id="17" name="Rectangle 257"/>
            <xdr:cNvSpPr>
              <a:spLocks/>
            </xdr:cNvSpPr>
          </xdr:nvSpPr>
          <xdr:spPr>
            <a:xfrm>
              <a:off x="445" y="656"/>
              <a:ext cx="59" cy="34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245"/>
            <xdr:cNvSpPr>
              <a:spLocks/>
            </xdr:cNvSpPr>
          </xdr:nvSpPr>
          <xdr:spPr>
            <a:xfrm>
              <a:off x="445" y="656"/>
              <a:ext cx="157" cy="34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46"/>
            <xdr:cNvSpPr>
              <a:spLocks/>
            </xdr:cNvSpPr>
          </xdr:nvSpPr>
          <xdr:spPr>
            <a:xfrm>
              <a:off x="462" y="667"/>
              <a:ext cx="0" cy="14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47"/>
            <xdr:cNvSpPr>
              <a:spLocks/>
            </xdr:cNvSpPr>
          </xdr:nvSpPr>
          <xdr:spPr>
            <a:xfrm>
              <a:off x="583" y="668"/>
              <a:ext cx="0" cy="13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48"/>
            <xdr:cNvSpPr>
              <a:spLocks/>
            </xdr:cNvSpPr>
          </xdr:nvSpPr>
          <xdr:spPr>
            <a:xfrm>
              <a:off x="446" y="707"/>
              <a:ext cx="1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TextBox 250"/>
            <xdr:cNvSpPr txBox="1">
              <a:spLocks noChangeArrowheads="1"/>
            </xdr:cNvSpPr>
          </xdr:nvSpPr>
          <xdr:spPr>
            <a:xfrm>
              <a:off x="528" y="687"/>
              <a:ext cx="32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d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utile</a:t>
              </a:r>
            </a:p>
          </xdr:txBody>
        </xdr:sp>
        <xdr:sp>
          <xdr:nvSpPr>
            <xdr:cNvPr id="23" name="Line 251"/>
            <xdr:cNvSpPr>
              <a:spLocks/>
            </xdr:cNvSpPr>
          </xdr:nvSpPr>
          <xdr:spPr>
            <a:xfrm>
              <a:off x="446" y="724"/>
              <a:ext cx="15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Box 252"/>
            <xdr:cNvSpPr txBox="1">
              <a:spLocks noChangeArrowheads="1"/>
            </xdr:cNvSpPr>
          </xdr:nvSpPr>
          <xdr:spPr>
            <a:xfrm>
              <a:off x="528" y="715"/>
              <a:ext cx="15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25" name="TextBox 254"/>
            <xdr:cNvSpPr txBox="1">
              <a:spLocks noChangeArrowheads="1"/>
            </xdr:cNvSpPr>
          </xdr:nvSpPr>
          <xdr:spPr>
            <a:xfrm>
              <a:off x="567" y="666"/>
              <a:ext cx="18" cy="1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26" name="TextBox 255"/>
            <xdr:cNvSpPr txBox="1">
              <a:spLocks noChangeArrowheads="1"/>
            </xdr:cNvSpPr>
          </xdr:nvSpPr>
          <xdr:spPr>
            <a:xfrm>
              <a:off x="467" y="674"/>
              <a:ext cx="20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A'</a:t>
              </a:r>
            </a:p>
          </xdr:txBody>
        </xdr:sp>
        <xdr:sp>
          <xdr:nvSpPr>
            <xdr:cNvPr id="27" name="Line 256"/>
            <xdr:cNvSpPr>
              <a:spLocks/>
            </xdr:cNvSpPr>
          </xdr:nvSpPr>
          <xdr:spPr>
            <a:xfrm>
              <a:off x="504" y="656"/>
              <a:ext cx="0" cy="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58"/>
            <xdr:cNvSpPr>
              <a:spLocks/>
            </xdr:cNvSpPr>
          </xdr:nvSpPr>
          <xdr:spPr>
            <a:xfrm>
              <a:off x="445" y="645"/>
              <a:ext cx="5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" name="TextBox 259"/>
          <xdr:cNvSpPr txBox="1">
            <a:spLocks noChangeArrowheads="1"/>
          </xdr:cNvSpPr>
        </xdr:nvSpPr>
        <xdr:spPr>
          <a:xfrm>
            <a:off x="451" y="624"/>
            <a:ext cx="21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u</a:t>
            </a:r>
          </a:p>
        </xdr:txBody>
      </xdr:sp>
    </xdr:grpSp>
    <xdr:clientData/>
  </xdr:twoCellAnchor>
  <xdr:twoCellAnchor>
    <xdr:from>
      <xdr:col>7</xdr:col>
      <xdr:colOff>28575</xdr:colOff>
      <xdr:row>11</xdr:row>
      <xdr:rowOff>38100</xdr:rowOff>
    </xdr:from>
    <xdr:to>
      <xdr:col>12</xdr:col>
      <xdr:colOff>314325</xdr:colOff>
      <xdr:row>15</xdr:row>
      <xdr:rowOff>114300</xdr:rowOff>
    </xdr:to>
    <xdr:grpSp>
      <xdr:nvGrpSpPr>
        <xdr:cNvPr id="30" name="Group 382"/>
        <xdr:cNvGrpSpPr>
          <a:grpSpLocks/>
        </xdr:cNvGrpSpPr>
      </xdr:nvGrpSpPr>
      <xdr:grpSpPr>
        <a:xfrm>
          <a:off x="3143250" y="1857375"/>
          <a:ext cx="2257425" cy="723900"/>
          <a:chOff x="316" y="185"/>
          <a:chExt cx="250" cy="76"/>
        </a:xfrm>
        <a:solidFill>
          <a:srgbClr val="FFFFFF"/>
        </a:solidFill>
      </xdr:grpSpPr>
      <xdr:grpSp>
        <xdr:nvGrpSpPr>
          <xdr:cNvPr id="31" name="Group 192"/>
          <xdr:cNvGrpSpPr>
            <a:grpSpLocks/>
          </xdr:cNvGrpSpPr>
        </xdr:nvGrpSpPr>
        <xdr:grpSpPr>
          <a:xfrm>
            <a:off x="352" y="208"/>
            <a:ext cx="170" cy="51"/>
            <a:chOff x="427" y="163"/>
            <a:chExt cx="216" cy="51"/>
          </a:xfrm>
          <a:solidFill>
            <a:srgbClr val="FFFFFF"/>
          </a:solidFill>
        </xdr:grpSpPr>
        <xdr:sp>
          <xdr:nvSpPr>
            <xdr:cNvPr id="32" name="Line 193"/>
            <xdr:cNvSpPr>
              <a:spLocks/>
            </xdr:cNvSpPr>
          </xdr:nvSpPr>
          <xdr:spPr>
            <a:xfrm>
              <a:off x="435" y="18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94"/>
            <xdr:cNvSpPr>
              <a:spLocks/>
            </xdr:cNvSpPr>
          </xdr:nvSpPr>
          <xdr:spPr>
            <a:xfrm flipV="1">
              <a:off x="435" y="164"/>
              <a:ext cx="0" cy="2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95"/>
            <xdr:cNvSpPr>
              <a:spLocks/>
            </xdr:cNvSpPr>
          </xdr:nvSpPr>
          <xdr:spPr>
            <a:xfrm flipH="1">
              <a:off x="427" y="164"/>
              <a:ext cx="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96"/>
            <xdr:cNvSpPr>
              <a:spLocks/>
            </xdr:cNvSpPr>
          </xdr:nvSpPr>
          <xdr:spPr>
            <a:xfrm>
              <a:off x="427" y="164"/>
              <a:ext cx="0" cy="5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197"/>
            <xdr:cNvSpPr>
              <a:spLocks/>
            </xdr:cNvSpPr>
          </xdr:nvSpPr>
          <xdr:spPr>
            <a:xfrm>
              <a:off x="427" y="214"/>
              <a:ext cx="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198"/>
            <xdr:cNvSpPr>
              <a:spLocks/>
            </xdr:cNvSpPr>
          </xdr:nvSpPr>
          <xdr:spPr>
            <a:xfrm flipV="1">
              <a:off x="435" y="197"/>
              <a:ext cx="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199"/>
            <xdr:cNvSpPr>
              <a:spLocks/>
            </xdr:cNvSpPr>
          </xdr:nvSpPr>
          <xdr:spPr>
            <a:xfrm>
              <a:off x="435" y="197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200"/>
            <xdr:cNvSpPr>
              <a:spLocks/>
            </xdr:cNvSpPr>
          </xdr:nvSpPr>
          <xdr:spPr>
            <a:xfrm flipV="1">
              <a:off x="515" y="188"/>
              <a:ext cx="0" cy="9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201"/>
            <xdr:cNvSpPr>
              <a:spLocks/>
            </xdr:cNvSpPr>
          </xdr:nvSpPr>
          <xdr:spPr>
            <a:xfrm>
              <a:off x="555" y="188"/>
              <a:ext cx="7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202"/>
            <xdr:cNvSpPr>
              <a:spLocks/>
            </xdr:cNvSpPr>
          </xdr:nvSpPr>
          <xdr:spPr>
            <a:xfrm flipV="1">
              <a:off x="555" y="164"/>
              <a:ext cx="0" cy="2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203"/>
            <xdr:cNvSpPr>
              <a:spLocks/>
            </xdr:cNvSpPr>
          </xdr:nvSpPr>
          <xdr:spPr>
            <a:xfrm flipH="1">
              <a:off x="547" y="164"/>
              <a:ext cx="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204"/>
            <xdr:cNvSpPr>
              <a:spLocks/>
            </xdr:cNvSpPr>
          </xdr:nvSpPr>
          <xdr:spPr>
            <a:xfrm>
              <a:off x="547" y="164"/>
              <a:ext cx="0" cy="5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205"/>
            <xdr:cNvSpPr>
              <a:spLocks/>
            </xdr:cNvSpPr>
          </xdr:nvSpPr>
          <xdr:spPr>
            <a:xfrm>
              <a:off x="547" y="214"/>
              <a:ext cx="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206"/>
            <xdr:cNvSpPr>
              <a:spLocks/>
            </xdr:cNvSpPr>
          </xdr:nvSpPr>
          <xdr:spPr>
            <a:xfrm flipV="1">
              <a:off x="555" y="197"/>
              <a:ext cx="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07"/>
            <xdr:cNvSpPr>
              <a:spLocks/>
            </xdr:cNvSpPr>
          </xdr:nvSpPr>
          <xdr:spPr>
            <a:xfrm>
              <a:off x="555" y="197"/>
              <a:ext cx="80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208"/>
            <xdr:cNvSpPr>
              <a:spLocks/>
            </xdr:cNvSpPr>
          </xdr:nvSpPr>
          <xdr:spPr>
            <a:xfrm flipV="1">
              <a:off x="635" y="164"/>
              <a:ext cx="0" cy="2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209"/>
            <xdr:cNvSpPr>
              <a:spLocks/>
            </xdr:cNvSpPr>
          </xdr:nvSpPr>
          <xdr:spPr>
            <a:xfrm flipV="1">
              <a:off x="635" y="197"/>
              <a:ext cx="0" cy="17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210"/>
            <xdr:cNvSpPr>
              <a:spLocks/>
            </xdr:cNvSpPr>
          </xdr:nvSpPr>
          <xdr:spPr>
            <a:xfrm>
              <a:off x="635" y="214"/>
              <a:ext cx="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211"/>
            <xdr:cNvSpPr>
              <a:spLocks/>
            </xdr:cNvSpPr>
          </xdr:nvSpPr>
          <xdr:spPr>
            <a:xfrm flipV="1">
              <a:off x="643" y="163"/>
              <a:ext cx="0" cy="51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212"/>
            <xdr:cNvSpPr>
              <a:spLocks/>
            </xdr:cNvSpPr>
          </xdr:nvSpPr>
          <xdr:spPr>
            <a:xfrm flipH="1">
              <a:off x="635" y="163"/>
              <a:ext cx="8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2" name="Line 213"/>
          <xdr:cNvSpPr>
            <a:spLocks/>
          </xdr:cNvSpPr>
        </xdr:nvSpPr>
        <xdr:spPr>
          <a:xfrm>
            <a:off x="358" y="256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214"/>
          <xdr:cNvSpPr>
            <a:spLocks/>
          </xdr:cNvSpPr>
        </xdr:nvSpPr>
        <xdr:spPr>
          <a:xfrm>
            <a:off x="454" y="25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215"/>
          <xdr:cNvSpPr>
            <a:spLocks/>
          </xdr:cNvSpPr>
        </xdr:nvSpPr>
        <xdr:spPr>
          <a:xfrm rot="5400000">
            <a:off x="319" y="233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216"/>
          <xdr:cNvSpPr txBox="1">
            <a:spLocks noChangeArrowheads="1"/>
          </xdr:cNvSpPr>
        </xdr:nvSpPr>
        <xdr:spPr>
          <a:xfrm>
            <a:off x="316" y="223"/>
            <a:ext cx="3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/>
              <a:t>&gt; 3a</a:t>
            </a:r>
          </a:p>
        </xdr:txBody>
      </xdr:sp>
      <xdr:sp>
        <xdr:nvSpPr>
          <xdr:cNvPr id="56" name="TextBox 217"/>
          <xdr:cNvSpPr txBox="1">
            <a:spLocks noChangeArrowheads="1"/>
          </xdr:cNvSpPr>
        </xdr:nvSpPr>
        <xdr:spPr>
          <a:xfrm>
            <a:off x="331" y="185"/>
            <a:ext cx="1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sng" baseline="0"/>
              <a:t>raidi à une extrémité</a:t>
            </a:r>
          </a:p>
        </xdr:txBody>
      </xdr:sp>
      <xdr:sp>
        <xdr:nvSpPr>
          <xdr:cNvPr id="57" name="TextBox 218"/>
          <xdr:cNvSpPr txBox="1">
            <a:spLocks noChangeArrowheads="1"/>
          </xdr:cNvSpPr>
        </xdr:nvSpPr>
        <xdr:spPr>
          <a:xfrm>
            <a:off x="443" y="185"/>
            <a:ext cx="12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sng" baseline="0"/>
              <a:t>raidi aux 2 extrémités</a:t>
            </a:r>
          </a:p>
        </xdr:txBody>
      </xdr:sp>
      <xdr:sp>
        <xdr:nvSpPr>
          <xdr:cNvPr id="58" name="TextBox 265"/>
          <xdr:cNvSpPr txBox="1">
            <a:spLocks noChangeArrowheads="1"/>
          </xdr:cNvSpPr>
        </xdr:nvSpPr>
        <xdr:spPr>
          <a:xfrm>
            <a:off x="377" y="240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/>
              <a:t>c</a:t>
            </a:r>
          </a:p>
        </xdr:txBody>
      </xdr:sp>
      <xdr:sp>
        <xdr:nvSpPr>
          <xdr:cNvPr id="59" name="TextBox 266"/>
          <xdr:cNvSpPr txBox="1">
            <a:spLocks noChangeArrowheads="1"/>
          </xdr:cNvSpPr>
        </xdr:nvSpPr>
        <xdr:spPr>
          <a:xfrm>
            <a:off x="477" y="239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/>
              <a:t>c</a:t>
            </a:r>
          </a:p>
        </xdr:txBody>
      </xdr:sp>
    </xdr:grpSp>
    <xdr:clientData/>
  </xdr:twoCellAnchor>
  <xdr:twoCellAnchor editAs="oneCell">
    <xdr:from>
      <xdr:col>6</xdr:col>
      <xdr:colOff>9525</xdr:colOff>
      <xdr:row>34</xdr:row>
      <xdr:rowOff>0</xdr:rowOff>
    </xdr:from>
    <xdr:to>
      <xdr:col>10</xdr:col>
      <xdr:colOff>209550</xdr:colOff>
      <xdr:row>35</xdr:row>
      <xdr:rowOff>19050</xdr:rowOff>
    </xdr:to>
    <xdr:pic>
      <xdr:nvPicPr>
        <xdr:cNvPr id="60" name="Option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33675" y="5800725"/>
          <a:ext cx="1781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35</xdr:row>
      <xdr:rowOff>0</xdr:rowOff>
    </xdr:from>
    <xdr:to>
      <xdr:col>13</xdr:col>
      <xdr:colOff>114300</xdr:colOff>
      <xdr:row>36</xdr:row>
      <xdr:rowOff>38100</xdr:rowOff>
    </xdr:to>
    <xdr:pic>
      <xdr:nvPicPr>
        <xdr:cNvPr id="61" name="OptionButton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33675" y="5972175"/>
          <a:ext cx="2857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36</xdr:row>
      <xdr:rowOff>0</xdr:rowOff>
    </xdr:from>
    <xdr:to>
      <xdr:col>9</xdr:col>
      <xdr:colOff>219075</xdr:colOff>
      <xdr:row>37</xdr:row>
      <xdr:rowOff>19050</xdr:rowOff>
    </xdr:to>
    <xdr:pic>
      <xdr:nvPicPr>
        <xdr:cNvPr id="62" name="OptionButton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33675" y="6134100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37</xdr:row>
      <xdr:rowOff>38100</xdr:rowOff>
    </xdr:from>
    <xdr:to>
      <xdr:col>9</xdr:col>
      <xdr:colOff>219075</xdr:colOff>
      <xdr:row>38</xdr:row>
      <xdr:rowOff>66675</xdr:rowOff>
    </xdr:to>
    <xdr:pic>
      <xdr:nvPicPr>
        <xdr:cNvPr id="63" name="OptionButton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33675" y="6343650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39</xdr:row>
      <xdr:rowOff>28575</xdr:rowOff>
    </xdr:from>
    <xdr:to>
      <xdr:col>9</xdr:col>
      <xdr:colOff>0</xdr:colOff>
      <xdr:row>40</xdr:row>
      <xdr:rowOff>104775</xdr:rowOff>
    </xdr:to>
    <xdr:pic>
      <xdr:nvPicPr>
        <xdr:cNvPr id="6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0" y="6677025"/>
          <a:ext cx="11525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0</xdr:rowOff>
    </xdr:from>
    <xdr:to>
      <xdr:col>5</xdr:col>
      <xdr:colOff>390525</xdr:colOff>
      <xdr:row>0</xdr:row>
      <xdr:rowOff>0</xdr:rowOff>
    </xdr:to>
    <xdr:pic>
      <xdr:nvPicPr>
        <xdr:cNvPr id="1" name="Fram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28575</xdr:rowOff>
    </xdr:from>
    <xdr:to>
      <xdr:col>13</xdr:col>
      <xdr:colOff>238125</xdr:colOff>
      <xdr:row>8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590675"/>
          <a:ext cx="11525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Fram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171450</xdr:colOff>
      <xdr:row>6</xdr:row>
      <xdr:rowOff>19050</xdr:rowOff>
    </xdr:from>
    <xdr:to>
      <xdr:col>4</xdr:col>
      <xdr:colOff>409575</xdr:colOff>
      <xdr:row>7</xdr:row>
      <xdr:rowOff>76200</xdr:rowOff>
    </xdr:to>
    <xdr:sp>
      <xdr:nvSpPr>
        <xdr:cNvPr id="2" name="Oval 2"/>
        <xdr:cNvSpPr>
          <a:spLocks/>
        </xdr:cNvSpPr>
      </xdr:nvSpPr>
      <xdr:spPr>
        <a:xfrm>
          <a:off x="2657475" y="1238250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19050</xdr:rowOff>
    </xdr:from>
    <xdr:to>
      <xdr:col>5</xdr:col>
      <xdr:colOff>9525</xdr:colOff>
      <xdr:row>14</xdr:row>
      <xdr:rowOff>19050</xdr:rowOff>
    </xdr:to>
    <xdr:sp>
      <xdr:nvSpPr>
        <xdr:cNvPr id="3" name="Line 3"/>
        <xdr:cNvSpPr>
          <a:spLocks/>
        </xdr:cNvSpPr>
      </xdr:nvSpPr>
      <xdr:spPr>
        <a:xfrm>
          <a:off x="2505075" y="2886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314325</xdr:colOff>
      <xdr:row>14</xdr:row>
      <xdr:rowOff>19050</xdr:rowOff>
    </xdr:from>
    <xdr:ext cx="142875" cy="200025"/>
    <xdr:sp>
      <xdr:nvSpPr>
        <xdr:cNvPr id="4" name="TextBox 4"/>
        <xdr:cNvSpPr txBox="1">
          <a:spLocks noChangeArrowheads="1"/>
        </xdr:cNvSpPr>
      </xdr:nvSpPr>
      <xdr:spPr>
        <a:xfrm>
          <a:off x="2800350" y="28860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Fram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171450</xdr:colOff>
      <xdr:row>5</xdr:row>
      <xdr:rowOff>19050</xdr:rowOff>
    </xdr:from>
    <xdr:to>
      <xdr:col>4</xdr:col>
      <xdr:colOff>438150</xdr:colOff>
      <xdr:row>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2771775" y="9239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ep</a:t>
          </a:r>
        </a:p>
      </xdr:txBody>
    </xdr:sp>
    <xdr:clientData/>
  </xdr:twoCellAnchor>
  <xdr:twoCellAnchor>
    <xdr:from>
      <xdr:col>4</xdr:col>
      <xdr:colOff>9525</xdr:colOff>
      <xdr:row>8</xdr:row>
      <xdr:rowOff>57150</xdr:rowOff>
    </xdr:from>
    <xdr:to>
      <xdr:col>4</xdr:col>
      <xdr:colOff>276225</xdr:colOff>
      <xdr:row>8</xdr:row>
      <xdr:rowOff>57150</xdr:rowOff>
    </xdr:to>
    <xdr:sp>
      <xdr:nvSpPr>
        <xdr:cNvPr id="3" name="Line 3"/>
        <xdr:cNvSpPr>
          <a:spLocks/>
        </xdr:cNvSpPr>
      </xdr:nvSpPr>
      <xdr:spPr>
        <a:xfrm>
          <a:off x="2609850" y="1447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142875</xdr:colOff>
      <xdr:row>7</xdr:row>
      <xdr:rowOff>47625</xdr:rowOff>
    </xdr:from>
    <xdr:ext cx="142875" cy="200025"/>
    <xdr:sp>
      <xdr:nvSpPr>
        <xdr:cNvPr id="4" name="TextBox 4"/>
        <xdr:cNvSpPr txBox="1">
          <a:spLocks noChangeArrowheads="1"/>
        </xdr:cNvSpPr>
      </xdr:nvSpPr>
      <xdr:spPr>
        <a:xfrm>
          <a:off x="2743200" y="12763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3</xdr:col>
      <xdr:colOff>428625</xdr:colOff>
      <xdr:row>1</xdr:row>
      <xdr:rowOff>142875</xdr:rowOff>
    </xdr:from>
    <xdr:to>
      <xdr:col>3</xdr:col>
      <xdr:colOff>428625</xdr:colOff>
      <xdr:row>10</xdr:row>
      <xdr:rowOff>0</xdr:rowOff>
    </xdr:to>
    <xdr:sp>
      <xdr:nvSpPr>
        <xdr:cNvPr id="5" name="Line 6"/>
        <xdr:cNvSpPr>
          <a:spLocks/>
        </xdr:cNvSpPr>
      </xdr:nvSpPr>
      <xdr:spPr>
        <a:xfrm>
          <a:off x="2333625" y="34290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409575</xdr:colOff>
      <xdr:row>5</xdr:row>
      <xdr:rowOff>123825</xdr:rowOff>
    </xdr:from>
    <xdr:ext cx="142875" cy="200025"/>
    <xdr:sp>
      <xdr:nvSpPr>
        <xdr:cNvPr id="6" name="TextBox 7"/>
        <xdr:cNvSpPr txBox="1">
          <a:spLocks noChangeArrowheads="1"/>
        </xdr:cNvSpPr>
      </xdr:nvSpPr>
      <xdr:spPr>
        <a:xfrm>
          <a:off x="2314575" y="1028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666750</xdr:colOff>
      <xdr:row>23</xdr:row>
      <xdr:rowOff>9525</xdr:rowOff>
    </xdr:from>
    <xdr:to>
      <xdr:col>10</xdr:col>
      <xdr:colOff>361950</xdr:colOff>
      <xdr:row>25</xdr:row>
      <xdr:rowOff>38100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886575" y="3562350"/>
          <a:ext cx="1038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180975</xdr:colOff>
      <xdr:row>0</xdr:row>
      <xdr:rowOff>0</xdr:rowOff>
    </xdr:from>
    <xdr:to>
      <xdr:col>11</xdr:col>
      <xdr:colOff>38100</xdr:colOff>
      <xdr:row>22</xdr:row>
      <xdr:rowOff>9525</xdr:rowOff>
    </xdr:to>
    <xdr:grpSp>
      <xdr:nvGrpSpPr>
        <xdr:cNvPr id="2" name="Group 259"/>
        <xdr:cNvGrpSpPr>
          <a:grpSpLocks/>
        </xdr:cNvGrpSpPr>
      </xdr:nvGrpSpPr>
      <xdr:grpSpPr>
        <a:xfrm>
          <a:off x="4543425" y="0"/>
          <a:ext cx="3486150" cy="3352800"/>
          <a:chOff x="466" y="0"/>
          <a:chExt cx="366" cy="370"/>
        </a:xfrm>
        <a:solidFill>
          <a:srgbClr val="FFFFFF"/>
        </a:solidFill>
      </xdr:grpSpPr>
      <xdr:grpSp>
        <xdr:nvGrpSpPr>
          <xdr:cNvPr id="3" name="Group 53"/>
          <xdr:cNvGrpSpPr>
            <a:grpSpLocks/>
          </xdr:cNvGrpSpPr>
        </xdr:nvGrpSpPr>
        <xdr:grpSpPr>
          <a:xfrm>
            <a:off x="509" y="0"/>
            <a:ext cx="323" cy="343"/>
            <a:chOff x="490" y="41"/>
            <a:chExt cx="351" cy="408"/>
          </a:xfrm>
          <a:solidFill>
            <a:srgbClr val="FFFFFF"/>
          </a:solidFill>
        </xdr:grpSpPr>
        <xdr:sp>
          <xdr:nvSpPr>
            <xdr:cNvPr id="4" name="Line 5"/>
            <xdr:cNvSpPr>
              <a:spLocks/>
            </xdr:cNvSpPr>
          </xdr:nvSpPr>
          <xdr:spPr>
            <a:xfrm flipH="1">
              <a:off x="551" y="157"/>
              <a:ext cx="39" cy="26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6"/>
            <xdr:cNvSpPr>
              <a:spLocks/>
            </xdr:cNvSpPr>
          </xdr:nvSpPr>
          <xdr:spPr>
            <a:xfrm flipV="1">
              <a:off x="590" y="67"/>
              <a:ext cx="251" cy="89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7"/>
            <xdr:cNvSpPr>
              <a:spLocks/>
            </xdr:cNvSpPr>
          </xdr:nvSpPr>
          <xdr:spPr>
            <a:xfrm>
              <a:off x="591" y="156"/>
              <a:ext cx="16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591" y="156"/>
              <a:ext cx="0" cy="1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 flipH="1">
              <a:off x="556" y="155"/>
              <a:ext cx="3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 flipH="1">
              <a:off x="516" y="157"/>
              <a:ext cx="39" cy="265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5"/>
            <xdr:cNvSpPr>
              <a:spLocks/>
            </xdr:cNvSpPr>
          </xdr:nvSpPr>
          <xdr:spPr>
            <a:xfrm>
              <a:off x="490" y="422"/>
              <a:ext cx="215" cy="2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7"/>
            <xdr:cNvSpPr>
              <a:spLocks/>
            </xdr:cNvSpPr>
          </xdr:nvSpPr>
          <xdr:spPr>
            <a:xfrm flipH="1">
              <a:off x="781" y="90"/>
              <a:ext cx="13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9"/>
            <xdr:cNvSpPr>
              <a:spLocks/>
            </xdr:cNvSpPr>
          </xdr:nvSpPr>
          <xdr:spPr>
            <a:xfrm flipH="1">
              <a:off x="800" y="81"/>
              <a:ext cx="16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1"/>
            <xdr:cNvSpPr>
              <a:spLocks/>
            </xdr:cNvSpPr>
          </xdr:nvSpPr>
          <xdr:spPr>
            <a:xfrm>
              <a:off x="784" y="91"/>
              <a:ext cx="39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2"/>
            <xdr:cNvSpPr>
              <a:spLocks/>
            </xdr:cNvSpPr>
          </xdr:nvSpPr>
          <xdr:spPr>
            <a:xfrm>
              <a:off x="805" y="83"/>
              <a:ext cx="35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3"/>
            <xdr:cNvSpPr>
              <a:spLocks/>
            </xdr:cNvSpPr>
          </xdr:nvSpPr>
          <xdr:spPr>
            <a:xfrm>
              <a:off x="682" y="125"/>
              <a:ext cx="6" cy="3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4"/>
            <xdr:cNvSpPr>
              <a:spLocks/>
            </xdr:cNvSpPr>
          </xdr:nvSpPr>
          <xdr:spPr>
            <a:xfrm flipV="1">
              <a:off x="570" y="29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TextBox 25"/>
            <xdr:cNvSpPr txBox="1">
              <a:spLocks noChangeArrowheads="1"/>
            </xdr:cNvSpPr>
          </xdr:nvSpPr>
          <xdr:spPr>
            <a:xfrm>
              <a:off x="690" y="123"/>
              <a:ext cx="50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/>
                <a:t>b&gt;0</a:t>
              </a:r>
            </a:p>
          </xdr:txBody>
        </xdr:sp>
        <xdr:sp>
          <xdr:nvSpPr>
            <xdr:cNvPr id="18" name="TextBox 26"/>
            <xdr:cNvSpPr txBox="1">
              <a:spLocks noChangeArrowheads="1"/>
            </xdr:cNvSpPr>
          </xdr:nvSpPr>
          <xdr:spPr>
            <a:xfrm>
              <a:off x="594" y="278"/>
              <a:ext cx="50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/>
                <a:t>l&gt;0</a:t>
              </a:r>
            </a:p>
          </xdr:txBody>
        </xdr:sp>
        <xdr:sp>
          <xdr:nvSpPr>
            <xdr:cNvPr id="19" name="Line 27"/>
            <xdr:cNvSpPr>
              <a:spLocks/>
            </xdr:cNvSpPr>
          </xdr:nvSpPr>
          <xdr:spPr>
            <a:xfrm flipV="1">
              <a:off x="562" y="328"/>
              <a:ext cx="112" cy="29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8"/>
            <xdr:cNvSpPr>
              <a:spLocks/>
            </xdr:cNvSpPr>
          </xdr:nvSpPr>
          <xdr:spPr>
            <a:xfrm>
              <a:off x="563" y="356"/>
              <a:ext cx="69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9"/>
            <xdr:cNvSpPr>
              <a:spLocks/>
            </xdr:cNvSpPr>
          </xdr:nvSpPr>
          <xdr:spPr>
            <a:xfrm>
              <a:off x="614" y="345"/>
              <a:ext cx="0" cy="1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TextBox 30"/>
            <xdr:cNvSpPr txBox="1">
              <a:spLocks noChangeArrowheads="1"/>
            </xdr:cNvSpPr>
          </xdr:nvSpPr>
          <xdr:spPr>
            <a:xfrm>
              <a:off x="628" y="330"/>
              <a:ext cx="48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/>
                <a:t>d&gt;0</a:t>
              </a:r>
            </a:p>
          </xdr:txBody>
        </xdr:sp>
        <xdr:sp>
          <xdr:nvSpPr>
            <xdr:cNvPr id="23" name="Line 31"/>
            <xdr:cNvSpPr>
              <a:spLocks/>
            </xdr:cNvSpPr>
          </xdr:nvSpPr>
          <xdr:spPr>
            <a:xfrm flipV="1">
              <a:off x="680" y="211"/>
              <a:ext cx="47" cy="98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2"/>
            <xdr:cNvSpPr>
              <a:spLocks/>
            </xdr:cNvSpPr>
          </xdr:nvSpPr>
          <xdr:spPr>
            <a:xfrm flipH="1" flipV="1">
              <a:off x="709" y="257"/>
              <a:ext cx="17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4"/>
            <xdr:cNvSpPr>
              <a:spLocks/>
            </xdr:cNvSpPr>
          </xdr:nvSpPr>
          <xdr:spPr>
            <a:xfrm>
              <a:off x="728" y="211"/>
              <a:ext cx="0" cy="9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5"/>
            <xdr:cNvSpPr>
              <a:spLocks/>
            </xdr:cNvSpPr>
          </xdr:nvSpPr>
          <xdr:spPr>
            <a:xfrm flipH="1">
              <a:off x="678" y="210"/>
              <a:ext cx="4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sysDash"/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6"/>
            <xdr:cNvSpPr>
              <a:spLocks/>
            </xdr:cNvSpPr>
          </xdr:nvSpPr>
          <xdr:spPr>
            <a:xfrm>
              <a:off x="679" y="212"/>
              <a:ext cx="0" cy="9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7"/>
            <xdr:cNvSpPr>
              <a:spLocks/>
            </xdr:cNvSpPr>
          </xdr:nvSpPr>
          <xdr:spPr>
            <a:xfrm>
              <a:off x="681" y="305"/>
              <a:ext cx="4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8"/>
            <xdr:cNvSpPr>
              <a:spLocks/>
            </xdr:cNvSpPr>
          </xdr:nvSpPr>
          <xdr:spPr>
            <a:xfrm flipV="1">
              <a:off x="636" y="101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9"/>
            <xdr:cNvSpPr>
              <a:spLocks/>
            </xdr:cNvSpPr>
          </xdr:nvSpPr>
          <xdr:spPr>
            <a:xfrm flipV="1">
              <a:off x="721" y="71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40"/>
            <xdr:cNvSpPr>
              <a:spLocks/>
            </xdr:cNvSpPr>
          </xdr:nvSpPr>
          <xdr:spPr>
            <a:xfrm flipV="1">
              <a:off x="698" y="78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41"/>
            <xdr:cNvSpPr>
              <a:spLocks/>
            </xdr:cNvSpPr>
          </xdr:nvSpPr>
          <xdr:spPr>
            <a:xfrm flipV="1">
              <a:off x="677" y="86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42"/>
            <xdr:cNvSpPr>
              <a:spLocks/>
            </xdr:cNvSpPr>
          </xdr:nvSpPr>
          <xdr:spPr>
            <a:xfrm flipV="1">
              <a:off x="656" y="94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43"/>
            <xdr:cNvSpPr>
              <a:spLocks/>
            </xdr:cNvSpPr>
          </xdr:nvSpPr>
          <xdr:spPr>
            <a:xfrm flipV="1">
              <a:off x="592" y="119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44"/>
            <xdr:cNvSpPr>
              <a:spLocks/>
            </xdr:cNvSpPr>
          </xdr:nvSpPr>
          <xdr:spPr>
            <a:xfrm flipV="1">
              <a:off x="614" y="109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45"/>
            <xdr:cNvSpPr>
              <a:spLocks/>
            </xdr:cNvSpPr>
          </xdr:nvSpPr>
          <xdr:spPr>
            <a:xfrm flipV="1">
              <a:off x="788" y="48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46"/>
            <xdr:cNvSpPr>
              <a:spLocks/>
            </xdr:cNvSpPr>
          </xdr:nvSpPr>
          <xdr:spPr>
            <a:xfrm flipV="1">
              <a:off x="765" y="55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47"/>
            <xdr:cNvSpPr>
              <a:spLocks/>
            </xdr:cNvSpPr>
          </xdr:nvSpPr>
          <xdr:spPr>
            <a:xfrm flipV="1">
              <a:off x="744" y="63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TextBox 48"/>
            <xdr:cNvSpPr txBox="1">
              <a:spLocks noChangeArrowheads="1"/>
            </xdr:cNvSpPr>
          </xdr:nvSpPr>
          <xdr:spPr>
            <a:xfrm>
              <a:off x="642" y="64"/>
              <a:ext cx="24" cy="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1" i="0" u="none" baseline="0"/>
                <a:t>q</a:t>
              </a:r>
            </a:p>
          </xdr:txBody>
        </xdr:sp>
        <xdr:sp>
          <xdr:nvSpPr>
            <xdr:cNvPr id="40" name="Line 49"/>
            <xdr:cNvSpPr>
              <a:spLocks/>
            </xdr:cNvSpPr>
          </xdr:nvSpPr>
          <xdr:spPr>
            <a:xfrm flipV="1">
              <a:off x="592" y="41"/>
              <a:ext cx="209" cy="7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TextBox 50"/>
            <xdr:cNvSpPr txBox="1">
              <a:spLocks noChangeArrowheads="1"/>
            </xdr:cNvSpPr>
          </xdr:nvSpPr>
          <xdr:spPr>
            <a:xfrm>
              <a:off x="708" y="261"/>
              <a:ext cx="24" cy="4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600" b="0" i="0" u="none" baseline="0"/>
                <a:t>q</a:t>
              </a:r>
            </a:p>
          </xdr:txBody>
        </xdr:sp>
        <xdr:sp>
          <xdr:nvSpPr>
            <xdr:cNvPr id="42" name="TextBox 51"/>
            <xdr:cNvSpPr txBox="1">
              <a:spLocks noChangeArrowheads="1"/>
            </xdr:cNvSpPr>
          </xdr:nvSpPr>
          <xdr:spPr>
            <a:xfrm>
              <a:off x="732" y="248"/>
              <a:ext cx="97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latin typeface="Symbol"/>
                  <a:ea typeface="Symbol"/>
                  <a:cs typeface="Symbol"/>
                </a:rPr>
                <a:t>(1 +/- s</a:t>
              </a:r>
              <a:r>
                <a:rPr lang="en-US" cap="none" sz="1200" b="0" i="0" u="none" baseline="-25000">
                  <a:latin typeface="Arial"/>
                  <a:ea typeface="Arial"/>
                  <a:cs typeface="Arial"/>
                </a:rPr>
                <a:t>V</a:t>
              </a:r>
              <a:r>
                <a:rPr lang="en-US" cap="none" sz="1200" b="0" i="0" u="none" baseline="0">
                  <a:latin typeface="Symbol"/>
                  <a:ea typeface="Symbol"/>
                  <a:cs typeface="Symbol"/>
                </a:rPr>
                <a:t>)*g</a:t>
              </a:r>
            </a:p>
          </xdr:txBody>
        </xdr:sp>
        <xdr:sp>
          <xdr:nvSpPr>
            <xdr:cNvPr id="43" name="TextBox 52"/>
            <xdr:cNvSpPr txBox="1">
              <a:spLocks noChangeArrowheads="1"/>
            </xdr:cNvSpPr>
          </xdr:nvSpPr>
          <xdr:spPr>
            <a:xfrm>
              <a:off x="691" y="187"/>
              <a:ext cx="42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latin typeface="Symbol"/>
                  <a:ea typeface="Symbol"/>
                  <a:cs typeface="Symbol"/>
                </a:rPr>
                <a:t>s</a:t>
              </a:r>
              <a:r>
                <a:rPr lang="en-US" cap="none" sz="1200" b="0" i="0" u="none" baseline="-25000">
                  <a:latin typeface="Arial"/>
                  <a:ea typeface="Arial"/>
                  <a:cs typeface="Arial"/>
                </a:rPr>
                <a:t>h</a:t>
              </a:r>
              <a:r>
                <a:rPr lang="en-US" cap="none" sz="1200" b="0" i="0" u="none" baseline="0">
                  <a:latin typeface="Symbol"/>
                  <a:ea typeface="Symbol"/>
                  <a:cs typeface="Symbol"/>
                </a:rPr>
                <a:t>*g</a:t>
              </a:r>
            </a:p>
          </xdr:txBody>
        </xdr:sp>
      </xdr:grpSp>
      <xdr:sp>
        <xdr:nvSpPr>
          <xdr:cNvPr id="44" name="Line 54"/>
          <xdr:cNvSpPr>
            <a:spLocks/>
          </xdr:cNvSpPr>
        </xdr:nvSpPr>
        <xdr:spPr>
          <a:xfrm>
            <a:off x="510" y="36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534" y="360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6"/>
          <xdr:cNvSpPr>
            <a:spLocks/>
          </xdr:cNvSpPr>
        </xdr:nvSpPr>
        <xdr:spPr>
          <a:xfrm>
            <a:off x="566" y="360"/>
            <a:ext cx="1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8"/>
          <xdr:cNvSpPr>
            <a:spLocks/>
          </xdr:cNvSpPr>
        </xdr:nvSpPr>
        <xdr:spPr>
          <a:xfrm flipV="1">
            <a:off x="494" y="321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9"/>
          <xdr:cNvSpPr>
            <a:spLocks/>
          </xdr:cNvSpPr>
        </xdr:nvSpPr>
        <xdr:spPr>
          <a:xfrm flipH="1" flipV="1">
            <a:off x="466" y="92"/>
            <a:ext cx="0" cy="2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0"/>
          <xdr:cNvSpPr>
            <a:spLocks/>
          </xdr:cNvSpPr>
        </xdr:nvSpPr>
        <xdr:spPr>
          <a:xfrm flipV="1">
            <a:off x="571" y="57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Box 61"/>
          <xdr:cNvSpPr txBox="1">
            <a:spLocks noChangeArrowheads="1"/>
          </xdr:cNvSpPr>
        </xdr:nvSpPr>
        <xdr:spPr>
          <a:xfrm>
            <a:off x="610" y="342"/>
            <a:ext cx="1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d'</a:t>
            </a:r>
          </a:p>
        </xdr:txBody>
      </xdr:sp>
      <xdr:sp>
        <xdr:nvSpPr>
          <xdr:cNvPr id="51" name="TextBox 62"/>
          <xdr:cNvSpPr txBox="1">
            <a:spLocks noChangeArrowheads="1"/>
          </xdr:cNvSpPr>
        </xdr:nvSpPr>
        <xdr:spPr>
          <a:xfrm>
            <a:off x="515" y="342"/>
            <a:ext cx="1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52" name="TextBox 63"/>
          <xdr:cNvSpPr txBox="1">
            <a:spLocks noChangeArrowheads="1"/>
          </xdr:cNvSpPr>
        </xdr:nvSpPr>
        <xdr:spPr>
          <a:xfrm>
            <a:off x="540" y="342"/>
            <a:ext cx="2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53" name="TextBox 64"/>
          <xdr:cNvSpPr txBox="1">
            <a:spLocks noChangeArrowheads="1"/>
          </xdr:cNvSpPr>
        </xdr:nvSpPr>
        <xdr:spPr>
          <a:xfrm>
            <a:off x="575" y="37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 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54" name="TextBox 65"/>
          <xdr:cNvSpPr txBox="1">
            <a:spLocks noChangeArrowheads="1"/>
          </xdr:cNvSpPr>
        </xdr:nvSpPr>
        <xdr:spPr>
          <a:xfrm>
            <a:off x="470" y="203"/>
            <a:ext cx="2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ht</a:t>
            </a:r>
          </a:p>
        </xdr:txBody>
      </xdr:sp>
      <xdr:sp>
        <xdr:nvSpPr>
          <xdr:cNvPr id="55" name="TextBox 66"/>
          <xdr:cNvSpPr txBox="1">
            <a:spLocks noChangeArrowheads="1"/>
          </xdr:cNvSpPr>
        </xdr:nvSpPr>
        <xdr:spPr>
          <a:xfrm>
            <a:off x="471" y="321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hs</a:t>
            </a:r>
          </a:p>
        </xdr:txBody>
      </xdr:sp>
      <xdr:sp>
        <xdr:nvSpPr>
          <xdr:cNvPr id="56" name="Line 69"/>
          <xdr:cNvSpPr>
            <a:spLocks/>
          </xdr:cNvSpPr>
        </xdr:nvSpPr>
        <xdr:spPr>
          <a:xfrm>
            <a:off x="580" y="231"/>
            <a:ext cx="222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70"/>
          <xdr:cNvSpPr>
            <a:spLocks/>
          </xdr:cNvSpPr>
        </xdr:nvSpPr>
        <xdr:spPr>
          <a:xfrm>
            <a:off x="749" y="233"/>
            <a:ext cx="3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71"/>
          <xdr:cNvSpPr>
            <a:spLocks/>
          </xdr:cNvSpPr>
        </xdr:nvSpPr>
        <xdr:spPr>
          <a:xfrm>
            <a:off x="753" y="236"/>
            <a:ext cx="2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72"/>
          <xdr:cNvSpPr>
            <a:spLocks/>
          </xdr:cNvSpPr>
        </xdr:nvSpPr>
        <xdr:spPr>
          <a:xfrm>
            <a:off x="757" y="238"/>
            <a:ext cx="1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3"/>
          <xdr:cNvSpPr>
            <a:spLocks/>
          </xdr:cNvSpPr>
        </xdr:nvSpPr>
        <xdr:spPr>
          <a:xfrm flipV="1">
            <a:off x="758" y="241"/>
            <a:ext cx="1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74"/>
          <xdr:cNvSpPr>
            <a:spLocks/>
          </xdr:cNvSpPr>
        </xdr:nvSpPr>
        <xdr:spPr>
          <a:xfrm>
            <a:off x="761" y="243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75"/>
          <xdr:cNvSpPr>
            <a:spLocks/>
          </xdr:cNvSpPr>
        </xdr:nvSpPr>
        <xdr:spPr>
          <a:xfrm>
            <a:off x="795" y="231"/>
            <a:ext cx="0" cy="1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Box 76"/>
          <xdr:cNvSpPr txBox="1">
            <a:spLocks noChangeArrowheads="1"/>
          </xdr:cNvSpPr>
        </xdr:nvSpPr>
        <xdr:spPr>
          <a:xfrm>
            <a:off x="799" y="276"/>
            <a:ext cx="2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hw</a:t>
            </a:r>
          </a:p>
        </xdr:txBody>
      </xdr:sp>
      <xdr:sp>
        <xdr:nvSpPr>
          <xdr:cNvPr id="64" name="Line 164"/>
          <xdr:cNvSpPr>
            <a:spLocks/>
          </xdr:cNvSpPr>
        </xdr:nvSpPr>
        <xdr:spPr>
          <a:xfrm>
            <a:off x="509" y="343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165"/>
          <xdr:cNvSpPr>
            <a:spLocks/>
          </xdr:cNvSpPr>
        </xdr:nvSpPr>
        <xdr:spPr>
          <a:xfrm flipV="1">
            <a:off x="509" y="260"/>
            <a:ext cx="0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Box 166"/>
          <xdr:cNvSpPr txBox="1">
            <a:spLocks noChangeArrowheads="1"/>
          </xdr:cNvSpPr>
        </xdr:nvSpPr>
        <xdr:spPr>
          <a:xfrm>
            <a:off x="51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  <xdr:sp>
        <xdr:nvSpPr>
          <xdr:cNvPr id="67" name="TextBox 167"/>
          <xdr:cNvSpPr txBox="1">
            <a:spLocks noChangeArrowheads="1"/>
          </xdr:cNvSpPr>
        </xdr:nvSpPr>
        <xdr:spPr>
          <a:xfrm>
            <a:off x="575" y="322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68" name="TextBox 168"/>
          <xdr:cNvSpPr txBox="1">
            <a:spLocks noChangeArrowheads="1"/>
          </xdr:cNvSpPr>
        </xdr:nvSpPr>
        <xdr:spPr>
          <a:xfrm>
            <a:off x="495" y="33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0</a:t>
            </a:r>
          </a:p>
        </xdr:txBody>
      </xdr:sp>
    </xdr:grpSp>
    <xdr:clientData/>
  </xdr:twoCellAnchor>
  <xdr:twoCellAnchor editAs="absolute">
    <xdr:from>
      <xdr:col>0</xdr:col>
      <xdr:colOff>180975</xdr:colOff>
      <xdr:row>37</xdr:row>
      <xdr:rowOff>19050</xdr:rowOff>
    </xdr:from>
    <xdr:to>
      <xdr:col>10</xdr:col>
      <xdr:colOff>266700</xdr:colOff>
      <xdr:row>61</xdr:row>
      <xdr:rowOff>123825</xdr:rowOff>
    </xdr:to>
    <xdr:grpSp>
      <xdr:nvGrpSpPr>
        <xdr:cNvPr id="69" name="Group 258"/>
        <xdr:cNvGrpSpPr>
          <a:grpSpLocks/>
        </xdr:cNvGrpSpPr>
      </xdr:nvGrpSpPr>
      <xdr:grpSpPr>
        <a:xfrm>
          <a:off x="180975" y="5934075"/>
          <a:ext cx="7648575" cy="3990975"/>
          <a:chOff x="18" y="624"/>
          <a:chExt cx="840" cy="416"/>
        </a:xfrm>
        <a:solidFill>
          <a:srgbClr val="FFFFFF"/>
        </a:solidFill>
      </xdr:grpSpPr>
      <xdr:sp>
        <xdr:nvSpPr>
          <xdr:cNvPr id="70" name="Line 81"/>
          <xdr:cNvSpPr>
            <a:spLocks/>
          </xdr:cNvSpPr>
        </xdr:nvSpPr>
        <xdr:spPr>
          <a:xfrm flipH="1">
            <a:off x="121" y="719"/>
            <a:ext cx="39" cy="28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2"/>
          <xdr:cNvSpPr>
            <a:spLocks/>
          </xdr:cNvSpPr>
        </xdr:nvSpPr>
        <xdr:spPr>
          <a:xfrm flipV="1">
            <a:off x="160" y="624"/>
            <a:ext cx="277" cy="9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85"/>
          <xdr:cNvSpPr>
            <a:spLocks/>
          </xdr:cNvSpPr>
        </xdr:nvSpPr>
        <xdr:spPr>
          <a:xfrm flipH="1">
            <a:off x="126" y="717"/>
            <a:ext cx="3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6"/>
          <xdr:cNvSpPr>
            <a:spLocks/>
          </xdr:cNvSpPr>
        </xdr:nvSpPr>
        <xdr:spPr>
          <a:xfrm flipH="1">
            <a:off x="86" y="719"/>
            <a:ext cx="39" cy="284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87"/>
          <xdr:cNvSpPr>
            <a:spLocks/>
          </xdr:cNvSpPr>
        </xdr:nvSpPr>
        <xdr:spPr>
          <a:xfrm>
            <a:off x="60" y="1003"/>
            <a:ext cx="217" cy="2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8"/>
          <xdr:cNvSpPr>
            <a:spLocks/>
          </xdr:cNvSpPr>
        </xdr:nvSpPr>
        <xdr:spPr>
          <a:xfrm flipH="1">
            <a:off x="376" y="648"/>
            <a:ext cx="14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9"/>
          <xdr:cNvSpPr>
            <a:spLocks/>
          </xdr:cNvSpPr>
        </xdr:nvSpPr>
        <xdr:spPr>
          <a:xfrm flipH="1">
            <a:off x="396" y="638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90"/>
          <xdr:cNvSpPr>
            <a:spLocks/>
          </xdr:cNvSpPr>
        </xdr:nvSpPr>
        <xdr:spPr>
          <a:xfrm>
            <a:off x="379" y="649"/>
            <a:ext cx="4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91"/>
          <xdr:cNvSpPr>
            <a:spLocks/>
          </xdr:cNvSpPr>
        </xdr:nvSpPr>
        <xdr:spPr>
          <a:xfrm>
            <a:off x="401" y="640"/>
            <a:ext cx="3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33"/>
          <xdr:cNvSpPr>
            <a:spLocks/>
          </xdr:cNvSpPr>
        </xdr:nvSpPr>
        <xdr:spPr>
          <a:xfrm>
            <a:off x="132" y="921"/>
            <a:ext cx="2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34"/>
          <xdr:cNvSpPr>
            <a:spLocks/>
          </xdr:cNvSpPr>
        </xdr:nvSpPr>
        <xdr:spPr>
          <a:xfrm>
            <a:off x="341" y="924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35"/>
          <xdr:cNvSpPr>
            <a:spLocks/>
          </xdr:cNvSpPr>
        </xdr:nvSpPr>
        <xdr:spPr>
          <a:xfrm>
            <a:off x="345" y="928"/>
            <a:ext cx="2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36"/>
          <xdr:cNvSpPr>
            <a:spLocks/>
          </xdr:cNvSpPr>
        </xdr:nvSpPr>
        <xdr:spPr>
          <a:xfrm>
            <a:off x="349" y="931"/>
            <a:ext cx="1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37"/>
          <xdr:cNvSpPr>
            <a:spLocks/>
          </xdr:cNvSpPr>
        </xdr:nvSpPr>
        <xdr:spPr>
          <a:xfrm flipV="1">
            <a:off x="351" y="934"/>
            <a:ext cx="1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38"/>
          <xdr:cNvSpPr>
            <a:spLocks/>
          </xdr:cNvSpPr>
        </xdr:nvSpPr>
        <xdr:spPr>
          <a:xfrm>
            <a:off x="354" y="937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 flipH="1">
            <a:off x="18" y="714"/>
            <a:ext cx="55" cy="3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Box 142"/>
          <xdr:cNvSpPr txBox="1">
            <a:spLocks noChangeArrowheads="1"/>
          </xdr:cNvSpPr>
        </xdr:nvSpPr>
        <xdr:spPr>
          <a:xfrm>
            <a:off x="21" y="849"/>
            <a:ext cx="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23" y="997"/>
            <a:ext cx="129" cy="1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45"/>
          <xdr:cNvSpPr>
            <a:spLocks/>
          </xdr:cNvSpPr>
        </xdr:nvSpPr>
        <xdr:spPr>
          <a:xfrm>
            <a:off x="129" y="946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46"/>
          <xdr:cNvSpPr>
            <a:spLocks/>
          </xdr:cNvSpPr>
        </xdr:nvSpPr>
        <xdr:spPr>
          <a:xfrm>
            <a:off x="128" y="962"/>
            <a:ext cx="1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47"/>
          <xdr:cNvSpPr>
            <a:spLocks/>
          </xdr:cNvSpPr>
        </xdr:nvSpPr>
        <xdr:spPr>
          <a:xfrm>
            <a:off x="122" y="1004"/>
            <a:ext cx="3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48"/>
          <xdr:cNvSpPr>
            <a:spLocks/>
          </xdr:cNvSpPr>
        </xdr:nvSpPr>
        <xdr:spPr>
          <a:xfrm>
            <a:off x="134" y="921"/>
            <a:ext cx="36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49"/>
          <xdr:cNvSpPr>
            <a:spLocks/>
          </xdr:cNvSpPr>
        </xdr:nvSpPr>
        <xdr:spPr>
          <a:xfrm flipV="1">
            <a:off x="46" y="914"/>
            <a:ext cx="24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Box 150"/>
          <xdr:cNvSpPr txBox="1">
            <a:spLocks noChangeArrowheads="1"/>
          </xdr:cNvSpPr>
        </xdr:nvSpPr>
        <xdr:spPr>
          <a:xfrm>
            <a:off x="37" y="967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Lw</a:t>
            </a:r>
          </a:p>
        </xdr:txBody>
      </xdr:sp>
      <xdr:grpSp>
        <xdr:nvGrpSpPr>
          <xdr:cNvPr id="94" name="Group 162"/>
          <xdr:cNvGrpSpPr>
            <a:grpSpLocks/>
          </xdr:cNvGrpSpPr>
        </xdr:nvGrpSpPr>
        <xdr:grpSpPr>
          <a:xfrm>
            <a:off x="136" y="713"/>
            <a:ext cx="64" cy="205"/>
            <a:chOff x="547" y="702"/>
            <a:chExt cx="64" cy="201"/>
          </a:xfrm>
          <a:solidFill>
            <a:srgbClr val="FFFFFF"/>
          </a:solidFill>
        </xdr:grpSpPr>
        <xdr:sp>
          <xdr:nvSpPr>
            <xdr:cNvPr id="95" name="Line 151"/>
            <xdr:cNvSpPr>
              <a:spLocks/>
            </xdr:cNvSpPr>
          </xdr:nvSpPr>
          <xdr:spPr>
            <a:xfrm flipH="1">
              <a:off x="581" y="702"/>
              <a:ext cx="30" cy="1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152"/>
            <xdr:cNvSpPr>
              <a:spLocks/>
            </xdr:cNvSpPr>
          </xdr:nvSpPr>
          <xdr:spPr>
            <a:xfrm flipV="1">
              <a:off x="572" y="703"/>
              <a:ext cx="37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153"/>
            <xdr:cNvSpPr>
              <a:spLocks/>
            </xdr:cNvSpPr>
          </xdr:nvSpPr>
          <xdr:spPr>
            <a:xfrm flipV="1">
              <a:off x="564" y="764"/>
              <a:ext cx="3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154"/>
            <xdr:cNvSpPr>
              <a:spLocks/>
            </xdr:cNvSpPr>
          </xdr:nvSpPr>
          <xdr:spPr>
            <a:xfrm flipV="1">
              <a:off x="553" y="834"/>
              <a:ext cx="3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155"/>
            <xdr:cNvSpPr>
              <a:spLocks/>
            </xdr:cNvSpPr>
          </xdr:nvSpPr>
          <xdr:spPr>
            <a:xfrm flipV="1">
              <a:off x="547" y="898"/>
              <a:ext cx="3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0" name="Group 161"/>
          <xdr:cNvGrpSpPr>
            <a:grpSpLocks/>
          </xdr:cNvGrpSpPr>
        </xdr:nvGrpSpPr>
        <xdr:grpSpPr>
          <a:xfrm>
            <a:off x="180" y="708"/>
            <a:ext cx="64" cy="205"/>
            <a:chOff x="600" y="695"/>
            <a:chExt cx="64" cy="201"/>
          </a:xfrm>
          <a:solidFill>
            <a:srgbClr val="FFFFFF"/>
          </a:solidFill>
        </xdr:grpSpPr>
        <xdr:sp>
          <xdr:nvSpPr>
            <xdr:cNvPr id="101" name="Line 156"/>
            <xdr:cNvSpPr>
              <a:spLocks/>
            </xdr:cNvSpPr>
          </xdr:nvSpPr>
          <xdr:spPr>
            <a:xfrm flipH="1">
              <a:off x="634" y="695"/>
              <a:ext cx="30" cy="1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57"/>
            <xdr:cNvSpPr>
              <a:spLocks/>
            </xdr:cNvSpPr>
          </xdr:nvSpPr>
          <xdr:spPr>
            <a:xfrm flipV="1">
              <a:off x="625" y="696"/>
              <a:ext cx="37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58"/>
            <xdr:cNvSpPr>
              <a:spLocks/>
            </xdr:cNvSpPr>
          </xdr:nvSpPr>
          <xdr:spPr>
            <a:xfrm flipV="1">
              <a:off x="617" y="757"/>
              <a:ext cx="3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159"/>
            <xdr:cNvSpPr>
              <a:spLocks/>
            </xdr:cNvSpPr>
          </xdr:nvSpPr>
          <xdr:spPr>
            <a:xfrm flipV="1">
              <a:off x="606" y="827"/>
              <a:ext cx="3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60"/>
            <xdr:cNvSpPr>
              <a:spLocks/>
            </xdr:cNvSpPr>
          </xdr:nvSpPr>
          <xdr:spPr>
            <a:xfrm flipV="1">
              <a:off x="600" y="891"/>
              <a:ext cx="35" cy="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6" name="Line 163"/>
          <xdr:cNvSpPr>
            <a:spLocks/>
          </xdr:cNvSpPr>
        </xdr:nvSpPr>
        <xdr:spPr>
          <a:xfrm flipV="1">
            <a:off x="149" y="794"/>
            <a:ext cx="181" cy="2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TextBox 169"/>
          <xdr:cNvSpPr txBox="1">
            <a:spLocks noChangeArrowheads="1"/>
          </xdr:cNvSpPr>
        </xdr:nvSpPr>
        <xdr:spPr>
          <a:xfrm>
            <a:off x="175" y="861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Symbol"/>
                <a:ea typeface="Symbol"/>
                <a:cs typeface="Symbol"/>
              </a:rPr>
              <a:t>g</a:t>
            </a:r>
          </a:p>
        </xdr:txBody>
      </xdr:sp>
      <xdr:sp>
        <xdr:nvSpPr>
          <xdr:cNvPr id="108" name="TextBox 170"/>
          <xdr:cNvSpPr txBox="1">
            <a:spLocks noChangeArrowheads="1"/>
          </xdr:cNvSpPr>
        </xdr:nvSpPr>
        <xdr:spPr>
          <a:xfrm>
            <a:off x="222" y="849"/>
            <a:ext cx="28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dq</a:t>
            </a:r>
          </a:p>
        </xdr:txBody>
      </xdr:sp>
      <xdr:sp>
        <xdr:nvSpPr>
          <xdr:cNvPr id="109" name="Line 171"/>
          <xdr:cNvSpPr>
            <a:spLocks/>
          </xdr:cNvSpPr>
        </xdr:nvSpPr>
        <xdr:spPr>
          <a:xfrm flipV="1">
            <a:off x="189" y="787"/>
            <a:ext cx="209" cy="2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Box 172"/>
          <xdr:cNvSpPr txBox="1">
            <a:spLocks noChangeArrowheads="1"/>
          </xdr:cNvSpPr>
        </xdr:nvSpPr>
        <xdr:spPr>
          <a:xfrm>
            <a:off x="263" y="783"/>
            <a:ext cx="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Box 173"/>
          <xdr:cNvSpPr txBox="1">
            <a:spLocks noChangeArrowheads="1"/>
          </xdr:cNvSpPr>
        </xdr:nvSpPr>
        <xdr:spPr>
          <a:xfrm>
            <a:off x="242" y="774"/>
            <a:ext cx="3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d</a:t>
            </a:r>
            <a:r>
              <a:rPr lang="en-US" cap="none" sz="1200" b="1" i="0" u="none" baseline="-25000">
                <a:latin typeface="Symbol"/>
                <a:ea typeface="Symbol"/>
                <a:cs typeface="Symbol"/>
              </a:rPr>
              <a:t>g</a:t>
            </a:r>
          </a:p>
        </xdr:txBody>
      </xdr:sp>
      <xdr:sp>
        <xdr:nvSpPr>
          <xdr:cNvPr id="112" name="TextBox 174"/>
          <xdr:cNvSpPr txBox="1">
            <a:spLocks noChangeArrowheads="1"/>
          </xdr:cNvSpPr>
        </xdr:nvSpPr>
        <xdr:spPr>
          <a:xfrm>
            <a:off x="339" y="765"/>
            <a:ext cx="3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dq</a:t>
            </a:r>
          </a:p>
        </xdr:txBody>
      </xdr:sp>
      <xdr:grpSp>
        <xdr:nvGrpSpPr>
          <xdr:cNvPr id="113" name="Group 179"/>
          <xdr:cNvGrpSpPr>
            <a:grpSpLocks/>
          </xdr:cNvGrpSpPr>
        </xdr:nvGrpSpPr>
        <xdr:grpSpPr>
          <a:xfrm>
            <a:off x="128" y="808"/>
            <a:ext cx="23" cy="25"/>
            <a:chOff x="541" y="797"/>
            <a:chExt cx="23" cy="25"/>
          </a:xfrm>
          <a:solidFill>
            <a:srgbClr val="FFFFFF"/>
          </a:solidFill>
        </xdr:grpSpPr>
        <xdr:sp>
          <xdr:nvSpPr>
            <xdr:cNvPr id="114" name="Oval 176"/>
            <xdr:cNvSpPr>
              <a:spLocks/>
            </xdr:cNvSpPr>
          </xdr:nvSpPr>
          <xdr:spPr>
            <a:xfrm>
              <a:off x="555" y="802"/>
              <a:ext cx="9" cy="9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TextBox 178"/>
            <xdr:cNvSpPr txBox="1">
              <a:spLocks noChangeArrowheads="1"/>
            </xdr:cNvSpPr>
          </xdr:nvSpPr>
          <xdr:spPr>
            <a:xfrm>
              <a:off x="541" y="797"/>
              <a:ext cx="20" cy="2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1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</xdr:grpSp>
      <xdr:sp>
        <xdr:nvSpPr>
          <xdr:cNvPr id="116" name="Oval 181"/>
          <xdr:cNvSpPr>
            <a:spLocks/>
          </xdr:cNvSpPr>
        </xdr:nvSpPr>
        <xdr:spPr>
          <a:xfrm>
            <a:off x="117" y="992"/>
            <a:ext cx="9" cy="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TextBox 182"/>
          <xdr:cNvSpPr txBox="1">
            <a:spLocks noChangeArrowheads="1"/>
          </xdr:cNvSpPr>
        </xdr:nvSpPr>
        <xdr:spPr>
          <a:xfrm>
            <a:off x="92" y="982"/>
            <a:ext cx="2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118" name="Oval 184"/>
          <xdr:cNvSpPr>
            <a:spLocks/>
          </xdr:cNvSpPr>
        </xdr:nvSpPr>
        <xdr:spPr>
          <a:xfrm>
            <a:off x="121" y="966"/>
            <a:ext cx="9" cy="9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Box 185"/>
          <xdr:cNvSpPr txBox="1">
            <a:spLocks noChangeArrowheads="1"/>
          </xdr:cNvSpPr>
        </xdr:nvSpPr>
        <xdr:spPr>
          <a:xfrm>
            <a:off x="106" y="955"/>
            <a:ext cx="2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20" name="Line 191"/>
          <xdr:cNvSpPr>
            <a:spLocks/>
          </xdr:cNvSpPr>
        </xdr:nvSpPr>
        <xdr:spPr>
          <a:xfrm flipV="1">
            <a:off x="128" y="947"/>
            <a:ext cx="208" cy="2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97"/>
          <xdr:cNvSpPr>
            <a:spLocks/>
          </xdr:cNvSpPr>
        </xdr:nvSpPr>
        <xdr:spPr>
          <a:xfrm flipV="1">
            <a:off x="183" y="939"/>
            <a:ext cx="209" cy="2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TextBox 198"/>
          <xdr:cNvSpPr txBox="1">
            <a:spLocks noChangeArrowheads="1"/>
          </xdr:cNvSpPr>
        </xdr:nvSpPr>
        <xdr:spPr>
          <a:xfrm>
            <a:off x="249" y="955"/>
            <a:ext cx="3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P'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d</a:t>
            </a:r>
            <a:r>
              <a:rPr lang="en-US" cap="none" sz="1200" b="1" i="0" u="none" baseline="-25000">
                <a:latin typeface="Symbol"/>
                <a:ea typeface="Symbol"/>
                <a:cs typeface="Symbol"/>
              </a:rPr>
              <a:t>g</a:t>
            </a:r>
          </a:p>
        </xdr:txBody>
      </xdr:sp>
      <xdr:sp>
        <xdr:nvSpPr>
          <xdr:cNvPr id="123" name="TextBox 199"/>
          <xdr:cNvSpPr txBox="1">
            <a:spLocks noChangeArrowheads="1"/>
          </xdr:cNvSpPr>
        </xdr:nvSpPr>
        <xdr:spPr>
          <a:xfrm>
            <a:off x="341" y="946"/>
            <a:ext cx="6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P'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dq'(q+</a:t>
            </a:r>
            <a:r>
              <a:rPr lang="en-US" cap="none" sz="1200" b="1" i="0" u="none" baseline="-25000">
                <a:latin typeface="Symbol"/>
                <a:ea typeface="Symbol"/>
                <a:cs typeface="Symbol"/>
              </a:rPr>
              <a:t>g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124" name="TextBox 200"/>
          <xdr:cNvSpPr txBox="1">
            <a:spLocks noChangeArrowheads="1"/>
          </xdr:cNvSpPr>
        </xdr:nvSpPr>
        <xdr:spPr>
          <a:xfrm>
            <a:off x="224" y="1009"/>
            <a:ext cx="3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grpSp>
        <xdr:nvGrpSpPr>
          <xdr:cNvPr id="125" name="Group 234"/>
          <xdr:cNvGrpSpPr>
            <a:grpSpLocks/>
          </xdr:cNvGrpSpPr>
        </xdr:nvGrpSpPr>
        <xdr:grpSpPr>
          <a:xfrm>
            <a:off x="507" y="624"/>
            <a:ext cx="351" cy="408"/>
            <a:chOff x="555" y="1017"/>
            <a:chExt cx="351" cy="404"/>
          </a:xfrm>
          <a:solidFill>
            <a:srgbClr val="FFFFFF"/>
          </a:solidFill>
        </xdr:grpSpPr>
        <xdr:sp>
          <xdr:nvSpPr>
            <xdr:cNvPr id="126" name="Line 206"/>
            <xdr:cNvSpPr>
              <a:spLocks/>
            </xdr:cNvSpPr>
          </xdr:nvSpPr>
          <xdr:spPr>
            <a:xfrm flipH="1">
              <a:off x="616" y="1112"/>
              <a:ext cx="39" cy="28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207"/>
            <xdr:cNvSpPr>
              <a:spLocks/>
            </xdr:cNvSpPr>
          </xdr:nvSpPr>
          <xdr:spPr>
            <a:xfrm flipV="1">
              <a:off x="655" y="1017"/>
              <a:ext cx="251" cy="94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208"/>
            <xdr:cNvSpPr>
              <a:spLocks/>
            </xdr:cNvSpPr>
          </xdr:nvSpPr>
          <xdr:spPr>
            <a:xfrm flipH="1">
              <a:off x="621" y="1110"/>
              <a:ext cx="34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209"/>
            <xdr:cNvSpPr>
              <a:spLocks/>
            </xdr:cNvSpPr>
          </xdr:nvSpPr>
          <xdr:spPr>
            <a:xfrm flipH="1">
              <a:off x="581" y="1112"/>
              <a:ext cx="39" cy="28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Rectangle 210"/>
            <xdr:cNvSpPr>
              <a:spLocks/>
            </xdr:cNvSpPr>
          </xdr:nvSpPr>
          <xdr:spPr>
            <a:xfrm>
              <a:off x="555" y="1392"/>
              <a:ext cx="215" cy="29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211"/>
            <xdr:cNvSpPr>
              <a:spLocks/>
            </xdr:cNvSpPr>
          </xdr:nvSpPr>
          <xdr:spPr>
            <a:xfrm>
              <a:off x="627" y="1310"/>
              <a:ext cx="241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212"/>
            <xdr:cNvSpPr>
              <a:spLocks/>
            </xdr:cNvSpPr>
          </xdr:nvSpPr>
          <xdr:spPr>
            <a:xfrm>
              <a:off x="811" y="1313"/>
              <a:ext cx="39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213"/>
            <xdr:cNvSpPr>
              <a:spLocks/>
            </xdr:cNvSpPr>
          </xdr:nvSpPr>
          <xdr:spPr>
            <a:xfrm>
              <a:off x="815" y="1317"/>
              <a:ext cx="2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214"/>
            <xdr:cNvSpPr>
              <a:spLocks/>
            </xdr:cNvSpPr>
          </xdr:nvSpPr>
          <xdr:spPr>
            <a:xfrm>
              <a:off x="819" y="1320"/>
              <a:ext cx="17" cy="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Line 215"/>
            <xdr:cNvSpPr>
              <a:spLocks/>
            </xdr:cNvSpPr>
          </xdr:nvSpPr>
          <xdr:spPr>
            <a:xfrm>
              <a:off x="657" y="1112"/>
              <a:ext cx="0" cy="19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216"/>
            <xdr:cNvSpPr>
              <a:spLocks/>
            </xdr:cNvSpPr>
          </xdr:nvSpPr>
          <xdr:spPr>
            <a:xfrm flipH="1">
              <a:off x="629" y="1310"/>
              <a:ext cx="0" cy="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217"/>
            <xdr:cNvSpPr>
              <a:spLocks/>
            </xdr:cNvSpPr>
          </xdr:nvSpPr>
          <xdr:spPr>
            <a:xfrm flipH="1">
              <a:off x="770" y="1309"/>
              <a:ext cx="0" cy="8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218"/>
            <xdr:cNvSpPr>
              <a:spLocks/>
            </xdr:cNvSpPr>
          </xdr:nvSpPr>
          <xdr:spPr>
            <a:xfrm>
              <a:off x="770" y="1068"/>
              <a:ext cx="0" cy="24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219"/>
            <xdr:cNvSpPr>
              <a:spLocks/>
            </xdr:cNvSpPr>
          </xdr:nvSpPr>
          <xdr:spPr>
            <a:xfrm>
              <a:off x="656" y="1112"/>
              <a:ext cx="1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TextBox 220"/>
            <xdr:cNvSpPr txBox="1">
              <a:spLocks noChangeArrowheads="1"/>
            </xdr:cNvSpPr>
          </xdr:nvSpPr>
          <xdr:spPr>
            <a:xfrm>
              <a:off x="695" y="1209"/>
              <a:ext cx="1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4</a:t>
              </a:r>
            </a:p>
          </xdr:txBody>
        </xdr:sp>
        <xdr:sp>
          <xdr:nvSpPr>
            <xdr:cNvPr id="141" name="Oval 221"/>
            <xdr:cNvSpPr>
              <a:spLocks/>
            </xdr:cNvSpPr>
          </xdr:nvSpPr>
          <xdr:spPr>
            <a:xfrm>
              <a:off x="693" y="1207"/>
              <a:ext cx="16" cy="1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TextBox 222"/>
            <xdr:cNvSpPr txBox="1">
              <a:spLocks noChangeArrowheads="1"/>
            </xdr:cNvSpPr>
          </xdr:nvSpPr>
          <xdr:spPr>
            <a:xfrm>
              <a:off x="744" y="1085"/>
              <a:ext cx="1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3</a:t>
              </a:r>
            </a:p>
          </xdr:txBody>
        </xdr:sp>
        <xdr:sp>
          <xdr:nvSpPr>
            <xdr:cNvPr id="143" name="Oval 223"/>
            <xdr:cNvSpPr>
              <a:spLocks/>
            </xdr:cNvSpPr>
          </xdr:nvSpPr>
          <xdr:spPr>
            <a:xfrm>
              <a:off x="742" y="1086"/>
              <a:ext cx="16" cy="1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TextBox 224"/>
            <xdr:cNvSpPr txBox="1">
              <a:spLocks noChangeArrowheads="1"/>
            </xdr:cNvSpPr>
          </xdr:nvSpPr>
          <xdr:spPr>
            <a:xfrm>
              <a:off x="637" y="1278"/>
              <a:ext cx="1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5</a:t>
              </a:r>
            </a:p>
          </xdr:txBody>
        </xdr:sp>
        <xdr:sp>
          <xdr:nvSpPr>
            <xdr:cNvPr id="145" name="Oval 225"/>
            <xdr:cNvSpPr>
              <a:spLocks/>
            </xdr:cNvSpPr>
          </xdr:nvSpPr>
          <xdr:spPr>
            <a:xfrm>
              <a:off x="636" y="1282"/>
              <a:ext cx="16" cy="1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TextBox 226"/>
            <xdr:cNvSpPr txBox="1">
              <a:spLocks noChangeArrowheads="1"/>
            </xdr:cNvSpPr>
          </xdr:nvSpPr>
          <xdr:spPr>
            <a:xfrm>
              <a:off x="683" y="1352"/>
              <a:ext cx="17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6</a:t>
              </a:r>
            </a:p>
          </xdr:txBody>
        </xdr:sp>
        <xdr:sp>
          <xdr:nvSpPr>
            <xdr:cNvPr id="147" name="Oval 227"/>
            <xdr:cNvSpPr>
              <a:spLocks/>
            </xdr:cNvSpPr>
          </xdr:nvSpPr>
          <xdr:spPr>
            <a:xfrm>
              <a:off x="682" y="1347"/>
              <a:ext cx="16" cy="1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TextBox 228"/>
            <xdr:cNvSpPr txBox="1">
              <a:spLocks noChangeArrowheads="1"/>
            </xdr:cNvSpPr>
          </xdr:nvSpPr>
          <xdr:spPr>
            <a:xfrm>
              <a:off x="613" y="1369"/>
              <a:ext cx="18" cy="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7</a:t>
              </a:r>
            </a:p>
          </xdr:txBody>
        </xdr:sp>
        <xdr:sp>
          <xdr:nvSpPr>
            <xdr:cNvPr id="149" name="Oval 229"/>
            <xdr:cNvSpPr>
              <a:spLocks/>
            </xdr:cNvSpPr>
          </xdr:nvSpPr>
          <xdr:spPr>
            <a:xfrm>
              <a:off x="617" y="1367"/>
              <a:ext cx="16" cy="1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TextBox 230"/>
            <xdr:cNvSpPr txBox="1">
              <a:spLocks noChangeArrowheads="1"/>
            </xdr:cNvSpPr>
          </xdr:nvSpPr>
          <xdr:spPr>
            <a:xfrm>
              <a:off x="608" y="1246"/>
              <a:ext cx="18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51" name="Oval 231"/>
            <xdr:cNvSpPr>
              <a:spLocks/>
            </xdr:cNvSpPr>
          </xdr:nvSpPr>
          <xdr:spPr>
            <a:xfrm>
              <a:off x="605" y="1247"/>
              <a:ext cx="16" cy="1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TextBox 232"/>
            <xdr:cNvSpPr txBox="1">
              <a:spLocks noChangeArrowheads="1"/>
            </xdr:cNvSpPr>
          </xdr:nvSpPr>
          <xdr:spPr>
            <a:xfrm>
              <a:off x="643" y="1396"/>
              <a:ext cx="17" cy="2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2</a:t>
              </a:r>
            </a:p>
          </xdr:txBody>
        </xdr:sp>
        <xdr:sp>
          <xdr:nvSpPr>
            <xdr:cNvPr id="153" name="Oval 233"/>
            <xdr:cNvSpPr>
              <a:spLocks/>
            </xdr:cNvSpPr>
          </xdr:nvSpPr>
          <xdr:spPr>
            <a:xfrm>
              <a:off x="643" y="1397"/>
              <a:ext cx="16" cy="1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4" name="TextBox 237"/>
          <xdr:cNvSpPr txBox="1">
            <a:spLocks noChangeArrowheads="1"/>
          </xdr:cNvSpPr>
        </xdr:nvSpPr>
        <xdr:spPr>
          <a:xfrm>
            <a:off x="185" y="930"/>
            <a:ext cx="3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p'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d</a:t>
            </a:r>
            <a:r>
              <a:rPr lang="en-US" cap="none" sz="1000" b="0" i="0" u="none" baseline="-25000">
                <a:latin typeface="Symbol"/>
                <a:ea typeface="Symbol"/>
                <a:cs typeface="Symbol"/>
              </a:rPr>
              <a:t>g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'</a:t>
            </a:r>
          </a:p>
        </xdr:txBody>
      </xdr:sp>
      <xdr:sp>
        <xdr:nvSpPr>
          <xdr:cNvPr id="155" name="TextBox 238"/>
          <xdr:cNvSpPr txBox="1">
            <a:spLocks noChangeArrowheads="1"/>
          </xdr:cNvSpPr>
        </xdr:nvSpPr>
        <xdr:spPr>
          <a:xfrm>
            <a:off x="221" y="926"/>
            <a:ext cx="5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p'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dq'(q+</a:t>
            </a:r>
            <a:r>
              <a:rPr lang="en-US" cap="none" sz="1000" b="0" i="0" u="none" baseline="-25000">
                <a:latin typeface="Symbol"/>
                <a:ea typeface="Symbol"/>
                <a:cs typeface="Symbol"/>
              </a:rPr>
              <a:t>g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)</a:t>
            </a:r>
          </a:p>
        </xdr:txBody>
      </xdr:sp>
      <xdr:grpSp>
        <xdr:nvGrpSpPr>
          <xdr:cNvPr id="156" name="Group 244"/>
          <xdr:cNvGrpSpPr>
            <a:grpSpLocks/>
          </xdr:cNvGrpSpPr>
        </xdr:nvGrpSpPr>
        <xdr:grpSpPr>
          <a:xfrm>
            <a:off x="138" y="914"/>
            <a:ext cx="52" cy="117"/>
            <a:chOff x="138" y="901"/>
            <a:chExt cx="52" cy="117"/>
          </a:xfrm>
          <a:solidFill>
            <a:srgbClr val="FFFFFF"/>
          </a:solidFill>
        </xdr:grpSpPr>
        <xdr:sp>
          <xdr:nvSpPr>
            <xdr:cNvPr id="157" name="Line 186"/>
            <xdr:cNvSpPr>
              <a:spLocks/>
            </xdr:cNvSpPr>
          </xdr:nvSpPr>
          <xdr:spPr>
            <a:xfrm flipH="1">
              <a:off x="174" y="902"/>
              <a:ext cx="16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Line 187"/>
            <xdr:cNvSpPr>
              <a:spLocks/>
            </xdr:cNvSpPr>
          </xdr:nvSpPr>
          <xdr:spPr>
            <a:xfrm flipH="1">
              <a:off x="154" y="901"/>
              <a:ext cx="3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Line 188"/>
            <xdr:cNvSpPr>
              <a:spLocks/>
            </xdr:cNvSpPr>
          </xdr:nvSpPr>
          <xdr:spPr>
            <a:xfrm flipH="1">
              <a:off x="149" y="942"/>
              <a:ext cx="3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89"/>
            <xdr:cNvSpPr>
              <a:spLocks/>
            </xdr:cNvSpPr>
          </xdr:nvSpPr>
          <xdr:spPr>
            <a:xfrm flipH="1">
              <a:off x="144" y="980"/>
              <a:ext cx="3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243"/>
            <xdr:cNvSpPr>
              <a:spLocks/>
            </xdr:cNvSpPr>
          </xdr:nvSpPr>
          <xdr:spPr>
            <a:xfrm flipH="1">
              <a:off x="138" y="1010"/>
              <a:ext cx="36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2" name="Group 245"/>
          <xdr:cNvGrpSpPr>
            <a:grpSpLocks/>
          </xdr:cNvGrpSpPr>
        </xdr:nvGrpSpPr>
        <xdr:grpSpPr>
          <a:xfrm>
            <a:off x="174" y="915"/>
            <a:ext cx="52" cy="117"/>
            <a:chOff x="138" y="901"/>
            <a:chExt cx="52" cy="117"/>
          </a:xfrm>
          <a:solidFill>
            <a:srgbClr val="FFFFFF"/>
          </a:solidFill>
        </xdr:grpSpPr>
        <xdr:sp>
          <xdr:nvSpPr>
            <xdr:cNvPr id="163" name="Line 246"/>
            <xdr:cNvSpPr>
              <a:spLocks/>
            </xdr:cNvSpPr>
          </xdr:nvSpPr>
          <xdr:spPr>
            <a:xfrm flipH="1">
              <a:off x="174" y="902"/>
              <a:ext cx="16" cy="10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Line 247"/>
            <xdr:cNvSpPr>
              <a:spLocks/>
            </xdr:cNvSpPr>
          </xdr:nvSpPr>
          <xdr:spPr>
            <a:xfrm flipH="1">
              <a:off x="154" y="901"/>
              <a:ext cx="3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248"/>
            <xdr:cNvSpPr>
              <a:spLocks/>
            </xdr:cNvSpPr>
          </xdr:nvSpPr>
          <xdr:spPr>
            <a:xfrm flipH="1">
              <a:off x="149" y="942"/>
              <a:ext cx="3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249"/>
            <xdr:cNvSpPr>
              <a:spLocks/>
            </xdr:cNvSpPr>
          </xdr:nvSpPr>
          <xdr:spPr>
            <a:xfrm flipH="1">
              <a:off x="144" y="980"/>
              <a:ext cx="35" cy="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250"/>
            <xdr:cNvSpPr>
              <a:spLocks/>
            </xdr:cNvSpPr>
          </xdr:nvSpPr>
          <xdr:spPr>
            <a:xfrm flipH="1">
              <a:off x="138" y="1010"/>
              <a:ext cx="36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8" name="Line 257"/>
          <xdr:cNvSpPr>
            <a:spLocks/>
          </xdr:cNvSpPr>
        </xdr:nvSpPr>
        <xdr:spPr>
          <a:xfrm>
            <a:off x="117" y="1031"/>
            <a:ext cx="53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8</xdr:row>
      <xdr:rowOff>47625</xdr:rowOff>
    </xdr:from>
    <xdr:ext cx="2143125" cy="1476375"/>
    <xdr:grpSp>
      <xdr:nvGrpSpPr>
        <xdr:cNvPr id="1" name="Group 15"/>
        <xdr:cNvGrpSpPr>
          <a:grpSpLocks/>
        </xdr:cNvGrpSpPr>
      </xdr:nvGrpSpPr>
      <xdr:grpSpPr>
        <a:xfrm>
          <a:off x="1257300" y="2295525"/>
          <a:ext cx="2143125" cy="1476375"/>
          <a:chOff x="77" y="111"/>
          <a:chExt cx="225" cy="155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77" y="121"/>
            <a:ext cx="0" cy="1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77" y="239"/>
            <a:ext cx="1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V="1">
            <a:off x="78" y="15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20" y="153"/>
            <a:ext cx="1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30" y="179"/>
            <a:ext cx="17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148" y="200"/>
            <a:ext cx="2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174" y="216"/>
            <a:ext cx="39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213" y="227"/>
            <a:ext cx="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9"/>
          <xdr:cNvSpPr txBox="1">
            <a:spLocks noChangeArrowheads="1"/>
          </xdr:cNvSpPr>
        </xdr:nvSpPr>
        <xdr:spPr>
          <a:xfrm>
            <a:off x="83" y="111"/>
            <a:ext cx="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1" name="TextBox 10"/>
          <xdr:cNvSpPr txBox="1">
            <a:spLocks noChangeArrowheads="1"/>
          </xdr:cNvSpPr>
        </xdr:nvSpPr>
        <xdr:spPr>
          <a:xfrm>
            <a:off x="271" y="217"/>
            <a:ext cx="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116" y="239"/>
            <a:ext cx="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Tc</a:t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V="1">
            <a:off x="120" y="152"/>
            <a:ext cx="0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 flipV="1">
            <a:off x="97" y="153"/>
            <a:ext cx="0" cy="8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83" y="239"/>
            <a:ext cx="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Tb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63"/>
  <sheetViews>
    <sheetView showGridLines="0" tabSelected="1" workbookViewId="0" topLeftCell="A1">
      <selection activeCell="R18" sqref="R18"/>
    </sheetView>
  </sheetViews>
  <sheetFormatPr defaultColWidth="11.421875" defaultRowHeight="12.75"/>
  <cols>
    <col min="1" max="1" width="9.00390625" style="3" customWidth="1"/>
    <col min="2" max="2" width="7.28125" style="3" customWidth="1"/>
    <col min="3" max="3" width="5.8515625" style="3" customWidth="1"/>
    <col min="4" max="4" width="7.00390625" style="3" customWidth="1"/>
    <col min="5" max="7" width="5.8515625" style="3" customWidth="1"/>
    <col min="8" max="8" width="6.140625" style="3" customWidth="1"/>
    <col min="9" max="14" width="5.8515625" style="3" customWidth="1"/>
    <col min="15" max="15" width="5.7109375" style="3" customWidth="1"/>
    <col min="16" max="33" width="6.7109375" style="3" customWidth="1"/>
    <col min="34" max="16384" width="9.7109375" style="3" customWidth="1"/>
  </cols>
  <sheetData>
    <row r="1" spans="1:14" ht="14.25">
      <c r="A1" s="156" t="s">
        <v>202</v>
      </c>
      <c r="B1" s="156" t="s">
        <v>253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65"/>
      <c r="N1" s="65"/>
    </row>
    <row r="2" spans="1:2" ht="14.25">
      <c r="A2" s="157" t="s">
        <v>203</v>
      </c>
      <c r="B2" s="161" t="s">
        <v>252</v>
      </c>
    </row>
    <row r="3" ht="12.75"/>
    <row r="4" ht="12.75">
      <c r="A4" s="9" t="s">
        <v>19</v>
      </c>
    </row>
    <row r="5" ht="12.75"/>
    <row r="6" spans="1:14" ht="12.75">
      <c r="A6" s="4"/>
      <c r="E6" s="18" t="b">
        <v>0</v>
      </c>
      <c r="F6" s="18" t="b">
        <v>1</v>
      </c>
      <c r="G6" s="18" t="b">
        <v>0</v>
      </c>
      <c r="L6" s="1" t="s">
        <v>1</v>
      </c>
      <c r="M6" s="6">
        <v>2.75</v>
      </c>
      <c r="N6" s="2" t="s">
        <v>17</v>
      </c>
    </row>
    <row r="7" ht="12.75"/>
    <row r="8" ht="12.75"/>
    <row r="9" spans="12:14" ht="12.75">
      <c r="L9" s="1" t="s">
        <v>2</v>
      </c>
      <c r="M9" s="6">
        <v>0.16</v>
      </c>
      <c r="N9" s="2" t="s">
        <v>9</v>
      </c>
    </row>
    <row r="10" spans="7:12" ht="12.75">
      <c r="G10" s="18" t="b">
        <v>1</v>
      </c>
      <c r="J10" s="1" t="s">
        <v>18</v>
      </c>
      <c r="K10" s="6">
        <v>5.25</v>
      </c>
      <c r="L10" s="2" t="s">
        <v>9</v>
      </c>
    </row>
    <row r="11" ht="12.75">
      <c r="G11" s="18" t="b">
        <v>0</v>
      </c>
    </row>
    <row r="12" ht="12.75">
      <c r="G12" s="18" t="b">
        <v>0</v>
      </c>
    </row>
    <row r="13" spans="7:24" ht="12.75">
      <c r="G13" s="18"/>
      <c r="I13" s="2"/>
      <c r="P13" s="73"/>
      <c r="Q13" s="74"/>
      <c r="R13" s="73"/>
      <c r="S13" s="73"/>
      <c r="T13" s="73"/>
      <c r="U13" s="73"/>
      <c r="V13" s="73"/>
      <c r="W13" s="73"/>
      <c r="X13" s="73"/>
    </row>
    <row r="14" spans="7:23" ht="12.75">
      <c r="G14" s="18" t="b">
        <v>1</v>
      </c>
      <c r="H14" s="11"/>
      <c r="I14" s="8"/>
      <c r="J14" s="8"/>
      <c r="K14" s="11"/>
      <c r="L14" s="8"/>
      <c r="M14" s="8"/>
      <c r="P14" s="73"/>
      <c r="Q14" s="73"/>
      <c r="R14" s="73"/>
      <c r="S14" s="73"/>
      <c r="T14" s="73"/>
      <c r="U14" s="73"/>
      <c r="V14" s="73"/>
      <c r="W14" s="73"/>
    </row>
    <row r="15" spans="7:23" ht="12.75">
      <c r="G15" s="18" t="b">
        <v>1</v>
      </c>
      <c r="I15" s="16"/>
      <c r="L15" s="16"/>
      <c r="P15" s="73"/>
      <c r="Q15" s="73"/>
      <c r="R15" s="73"/>
      <c r="S15" s="73"/>
      <c r="T15" s="73"/>
      <c r="U15" s="73"/>
      <c r="V15" s="73"/>
      <c r="W15" s="73"/>
    </row>
    <row r="16" spans="8:23" ht="12.75">
      <c r="H16" s="12"/>
      <c r="I16" s="15"/>
      <c r="J16" s="17"/>
      <c r="K16" s="12"/>
      <c r="L16" s="15"/>
      <c r="M16" s="13"/>
      <c r="P16" s="73"/>
      <c r="Q16" s="75"/>
      <c r="R16" s="73"/>
      <c r="S16" s="73"/>
      <c r="T16" s="73"/>
      <c r="U16" s="73"/>
      <c r="V16" s="73"/>
      <c r="W16" s="73"/>
    </row>
    <row r="17" spans="1:24" ht="12.75">
      <c r="A17" s="3" t="s">
        <v>0</v>
      </c>
      <c r="B17" s="7">
        <f>M6*IF(E6,1,IF(G14,IF(F6,0.8,0.85),IF(F6,0.85,0.9)))</f>
        <v>2.2</v>
      </c>
      <c r="C17" s="3" t="s">
        <v>9</v>
      </c>
      <c r="I17" s="12" t="s">
        <v>20</v>
      </c>
      <c r="J17" s="15">
        <v>8.8</v>
      </c>
      <c r="K17" s="13" t="s">
        <v>9</v>
      </c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15" thickBot="1">
      <c r="A18" s="3" t="s">
        <v>21</v>
      </c>
      <c r="B18" s="7">
        <f>IF(G10,B17,IF(B17&gt;((M9-0.02)/M9)^(3/4)*J17*(1+1.5*G11),IF(G15,((M9-0.02)/M9)^(3/4)*J17*(1+1.5*G11)/2,((M9-0.02)/M9)^(3/4)*J17*(1+1.5*G11)/1.5),IF(G15,B17/(1+0.5*(B17/(((M9-0.02)/M9)^(3/4)*J17)/(1+1.5*G11))^2),B17/(1+(B17/(((M9-0.02)/M9)^(3/4)*J17)/(1+1.5*G11))^2))))</f>
        <v>2.2</v>
      </c>
      <c r="C18" s="3" t="s">
        <v>9</v>
      </c>
      <c r="P18" s="73"/>
      <c r="Q18" s="73"/>
      <c r="R18" s="73"/>
      <c r="S18" s="73"/>
      <c r="T18" s="73"/>
      <c r="U18" s="73"/>
      <c r="V18" s="73"/>
      <c r="W18" s="73"/>
      <c r="X18" s="73"/>
    </row>
    <row r="19" spans="1:24" ht="13.5" thickBot="1">
      <c r="A19" s="28" t="s">
        <v>52</v>
      </c>
      <c r="B19" s="29">
        <f>B18*SQRT(12)/(M9-0.02)</f>
        <v>54.435882523593285</v>
      </c>
      <c r="C19" s="3">
        <f>IF(B19&gt;80,"élencement mécanique trop grand (&gt;80)","")</f>
      </c>
      <c r="D19" s="43" t="s">
        <v>7</v>
      </c>
      <c r="E19" s="44">
        <v>2</v>
      </c>
      <c r="F19" s="45" t="str">
        <f>"coeff. de comportement"</f>
        <v>coeff. de comportement</v>
      </c>
      <c r="G19" s="45"/>
      <c r="H19" s="45"/>
      <c r="I19" s="38"/>
      <c r="P19" s="73"/>
      <c r="Q19" s="73"/>
      <c r="R19" s="73"/>
      <c r="S19" s="73"/>
      <c r="T19" s="73"/>
      <c r="U19" s="73"/>
      <c r="V19" s="73"/>
      <c r="W19" s="73"/>
      <c r="X19" s="73"/>
    </row>
    <row r="20" spans="1:24" ht="13.5" thickBot="1">
      <c r="A20" s="28"/>
      <c r="B20" s="29"/>
      <c r="G20" s="2"/>
      <c r="P20" s="73"/>
      <c r="Q20" s="73"/>
      <c r="R20" s="73"/>
      <c r="S20" s="73"/>
      <c r="T20" s="73"/>
      <c r="U20" s="73"/>
      <c r="V20" s="73"/>
      <c r="W20" s="73"/>
      <c r="X20" s="73"/>
    </row>
    <row r="21" spans="1:24" ht="12.75">
      <c r="A21" s="39" t="s">
        <v>3</v>
      </c>
      <c r="B21" s="47">
        <v>25</v>
      </c>
      <c r="C21" s="61" t="str">
        <f>"MPa"</f>
        <v>MPa</v>
      </c>
      <c r="D21" s="52" t="s">
        <v>31</v>
      </c>
      <c r="E21" s="53">
        <v>3216500</v>
      </c>
      <c r="F21" s="61" t="s">
        <v>32</v>
      </c>
      <c r="G21" s="52" t="s">
        <v>4</v>
      </c>
      <c r="H21" s="53">
        <v>500</v>
      </c>
      <c r="I21" s="40" t="str">
        <f>"MPa"</f>
        <v>MPa</v>
      </c>
      <c r="P21" s="74"/>
      <c r="Q21" s="73"/>
      <c r="R21" s="73"/>
      <c r="S21" s="73"/>
      <c r="T21" s="73"/>
      <c r="U21" s="73"/>
      <c r="V21" s="73"/>
      <c r="W21" s="73"/>
      <c r="X21" s="73"/>
    </row>
    <row r="22" spans="1:24" ht="14.25">
      <c r="A22" s="48" t="s">
        <v>93</v>
      </c>
      <c r="B22" s="49">
        <v>60</v>
      </c>
      <c r="C22" s="46" t="s">
        <v>22</v>
      </c>
      <c r="D22" s="54" t="s">
        <v>23</v>
      </c>
      <c r="E22" s="86">
        <f>1.15</f>
        <v>1.15</v>
      </c>
      <c r="F22" s="46"/>
      <c r="G22" s="54" t="s">
        <v>24</v>
      </c>
      <c r="H22" s="86">
        <v>1</v>
      </c>
      <c r="I22" s="50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14.25">
      <c r="A23" s="48" t="s">
        <v>5</v>
      </c>
      <c r="B23" s="85">
        <f>MIN(B22/(4.76+0.83*B22)*B21,B21*1.1)</f>
        <v>27.492668621700883</v>
      </c>
      <c r="C23" s="46" t="str">
        <f>"MPa"</f>
        <v>MPa</v>
      </c>
      <c r="D23" s="54" t="s">
        <v>25</v>
      </c>
      <c r="E23" s="86">
        <f>1.3</f>
        <v>1.3</v>
      </c>
      <c r="F23" s="46"/>
      <c r="G23" s="87" t="s">
        <v>63</v>
      </c>
      <c r="H23" s="86">
        <v>200000</v>
      </c>
      <c r="I23" s="50" t="s">
        <v>64</v>
      </c>
      <c r="P23" s="74"/>
      <c r="Q23" s="73"/>
      <c r="R23" s="73"/>
      <c r="S23" s="75"/>
      <c r="T23" s="73"/>
      <c r="U23" s="76"/>
      <c r="V23" s="73"/>
      <c r="W23" s="73"/>
      <c r="X23" s="73"/>
    </row>
    <row r="24" spans="1:24" ht="15" thickBot="1">
      <c r="A24" s="41"/>
      <c r="B24" s="57"/>
      <c r="C24" s="55"/>
      <c r="D24" s="56" t="s">
        <v>94</v>
      </c>
      <c r="E24" s="51">
        <v>3.5</v>
      </c>
      <c r="F24" s="55" t="s">
        <v>96</v>
      </c>
      <c r="G24" s="56" t="s">
        <v>95</v>
      </c>
      <c r="H24" s="51">
        <v>10</v>
      </c>
      <c r="I24" s="42" t="s">
        <v>96</v>
      </c>
      <c r="P24" s="74"/>
      <c r="Q24" s="73"/>
      <c r="R24" s="73"/>
      <c r="S24" s="75"/>
      <c r="T24" s="73"/>
      <c r="U24" s="76"/>
      <c r="V24" s="73"/>
      <c r="W24" s="73"/>
      <c r="X24" s="73"/>
    </row>
    <row r="25" spans="17:24" ht="13.5" thickBot="1">
      <c r="Q25" s="73"/>
      <c r="R25" s="73"/>
      <c r="S25" s="73"/>
      <c r="T25" s="73"/>
      <c r="U25" s="73"/>
      <c r="V25" s="73"/>
      <c r="W25" s="73"/>
      <c r="X25" s="73"/>
    </row>
    <row r="26" spans="1:32" ht="12.75">
      <c r="A26" s="19" t="s">
        <v>53</v>
      </c>
      <c r="B26" s="21">
        <f>IF(G14,IF(B19&gt;50,0.6*(50/B19)^2,0.85/(1+0.2*(B19/35)^2)),0.65/(1+0.2*(B19/30)^2))</f>
        <v>0.506198347107438</v>
      </c>
      <c r="G26" s="18"/>
      <c r="H26" s="18"/>
      <c r="I26" s="18"/>
      <c r="J26" s="18"/>
      <c r="Q26" s="39" t="s">
        <v>89</v>
      </c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40"/>
    </row>
    <row r="27" spans="1:32" ht="14.25">
      <c r="A27" s="19" t="s">
        <v>26</v>
      </c>
      <c r="B27" s="20">
        <f>B26*((M9-0.02)/M9*B23/0.9/E22+B38/10000*H21/H22/B40/M9*G14)</f>
        <v>11.765362789509977</v>
      </c>
      <c r="C27" s="3" t="str">
        <f>"MPa"</f>
        <v>MPa</v>
      </c>
      <c r="Q27" s="67" t="s">
        <v>81</v>
      </c>
      <c r="R27" s="66" t="s">
        <v>80</v>
      </c>
      <c r="S27" s="65" t="s">
        <v>55</v>
      </c>
      <c r="T27" s="65" t="s">
        <v>59</v>
      </c>
      <c r="U27" s="65" t="s">
        <v>60</v>
      </c>
      <c r="V27" s="65" t="s">
        <v>61</v>
      </c>
      <c r="W27" s="65" t="s">
        <v>86</v>
      </c>
      <c r="X27" s="66" t="s">
        <v>82</v>
      </c>
      <c r="Y27" s="65" t="s">
        <v>79</v>
      </c>
      <c r="Z27" s="65" t="s">
        <v>83</v>
      </c>
      <c r="AA27" s="65" t="s">
        <v>84</v>
      </c>
      <c r="AB27" s="65" t="s">
        <v>85</v>
      </c>
      <c r="AC27" s="66" t="s">
        <v>92</v>
      </c>
      <c r="AD27" s="65" t="s">
        <v>58</v>
      </c>
      <c r="AE27" s="65" t="s">
        <v>57</v>
      </c>
      <c r="AF27" s="69" t="s">
        <v>87</v>
      </c>
    </row>
    <row r="28" spans="1:32" ht="14.25">
      <c r="A28" s="19" t="s">
        <v>27</v>
      </c>
      <c r="B28" s="20">
        <f>0.85*B23/E22/E23</f>
        <v>15.631283162839967</v>
      </c>
      <c r="C28" s="3" t="str">
        <f>"MPa"</f>
        <v>MPa</v>
      </c>
      <c r="Q28" s="48">
        <f>ABS(C33+ABS(C34*(B30-K10/2)))</f>
        <v>254.34</v>
      </c>
      <c r="R28" s="72">
        <f>Q28/M9/B30^2/B31/100</f>
        <v>0.05558144334864118</v>
      </c>
      <c r="S28" s="46">
        <v>0.11435646169667416</v>
      </c>
      <c r="T28" s="46">
        <v>0.5066738517754915</v>
      </c>
      <c r="U28" s="46">
        <v>0.35618471784161543</v>
      </c>
      <c r="V28" s="46">
        <v>0.9592679759572046</v>
      </c>
      <c r="W28" s="46">
        <f>B30*S28</f>
        <v>0.5912229069718054</v>
      </c>
      <c r="X28" s="46">
        <f>IF(AD28&lt;2,AD28*B31*(1-AD28/4),B31)</f>
        <v>9.356179675469232</v>
      </c>
      <c r="Y28" s="59">
        <f>MAX(0,IF(AE28&gt;H21/H22/H23*1000,Q28/V28/B30/H21*H22*100-C34/H21*H22*100,Q28/V28/B30/H23/AE28*1000*100-C34/H23/AE28*1000*100))</f>
        <v>0</v>
      </c>
      <c r="Z28" s="46">
        <f>B31*W28*M9*T28*100</f>
        <v>51.28419050570228</v>
      </c>
      <c r="AA28" s="46">
        <f>IF(AF28&lt;2,AF28*B31*(1-AF28/4),B31)</f>
        <v>7.228546951997014</v>
      </c>
      <c r="AB28" s="46">
        <f>MIN(W28*2/3,M6/2)</f>
        <v>0.3941486046478702</v>
      </c>
      <c r="AC28" s="72">
        <v>0.05558135733008385</v>
      </c>
      <c r="AD28" s="84">
        <v>1.291224479724121</v>
      </c>
      <c r="AE28" s="73">
        <v>10</v>
      </c>
      <c r="AF28" s="50">
        <f>AD28*(W28-AB28/2)/W28</f>
        <v>0.8608163198160809</v>
      </c>
    </row>
    <row r="29" spans="1:32" ht="13.5" thickBot="1">
      <c r="A29" s="3" t="s">
        <v>90</v>
      </c>
      <c r="B29" s="3">
        <f>MAX(M9,M9*E19*B41/B28,B18/15*E19*B41/B28)</f>
        <v>0.16</v>
      </c>
      <c r="C29" s="3" t="s">
        <v>9</v>
      </c>
      <c r="D29" s="3" t="s">
        <v>91</v>
      </c>
      <c r="Q29" s="68" t="s">
        <v>11</v>
      </c>
      <c r="R29" s="55"/>
      <c r="S29" s="55"/>
      <c r="T29" s="55"/>
      <c r="U29" s="55"/>
      <c r="V29" s="55"/>
      <c r="W29" s="70" t="s">
        <v>9</v>
      </c>
      <c r="X29" s="70" t="s">
        <v>12</v>
      </c>
      <c r="Y29" s="70" t="s">
        <v>8</v>
      </c>
      <c r="Z29" s="70" t="s">
        <v>12</v>
      </c>
      <c r="AA29" s="55"/>
      <c r="AB29" s="70" t="s">
        <v>9</v>
      </c>
      <c r="AC29" s="55" t="str">
        <f>IF(ABS(AC28-R28)&lt;0.0002,"OK","")</f>
        <v>OK</v>
      </c>
      <c r="AD29" s="70" t="s">
        <v>56</v>
      </c>
      <c r="AE29" s="70" t="s">
        <v>56</v>
      </c>
      <c r="AF29" s="42"/>
    </row>
    <row r="30" spans="1:16" ht="15" thickBot="1">
      <c r="A30" s="3" t="s">
        <v>35</v>
      </c>
      <c r="B30" s="60">
        <v>5.17</v>
      </c>
      <c r="C30" s="7" t="s">
        <v>65</v>
      </c>
      <c r="D30" s="7">
        <f>K10-0.5*MAX(M9,M9*E19*B41/B28,B18/15*E19*B41/B28)</f>
        <v>5.17</v>
      </c>
      <c r="E30" s="35"/>
      <c r="P30" s="58"/>
    </row>
    <row r="31" spans="1:19" ht="14.25">
      <c r="A31" s="3" t="s">
        <v>33</v>
      </c>
      <c r="B31" s="14">
        <v>10.7</v>
      </c>
      <c r="C31" s="3" t="str">
        <f>"MPa"</f>
        <v>MPa</v>
      </c>
      <c r="F31" s="46"/>
      <c r="Q31" s="39" t="s">
        <v>69</v>
      </c>
      <c r="R31" s="61"/>
      <c r="S31" s="40"/>
    </row>
    <row r="32" spans="2:19" ht="13.5" thickBot="1">
      <c r="B32" s="60"/>
      <c r="P32" s="18" t="b">
        <v>1</v>
      </c>
      <c r="Q32" s="48" t="s">
        <v>67</v>
      </c>
      <c r="R32" s="46">
        <f>MAX(0,ABS(C34)*(B30-K10/2-H33)/(2*B30-K10),ABS(C34)-ABS(C34)*(B30-K10/2-H33)/(2*B30-K10))*H22/H21*100</f>
        <v>9.993713163064834</v>
      </c>
      <c r="S32" s="50" t="s">
        <v>8</v>
      </c>
    </row>
    <row r="33" spans="2:19" ht="15" thickBot="1">
      <c r="B33" s="36" t="s">
        <v>28</v>
      </c>
      <c r="C33" s="158">
        <v>122</v>
      </c>
      <c r="D33" s="37" t="s">
        <v>11</v>
      </c>
      <c r="G33" s="43" t="s">
        <v>88</v>
      </c>
      <c r="H33" s="83">
        <f>IF(C34=0,0,ABS(C33/C34))</f>
        <v>2.3461538461538463</v>
      </c>
      <c r="I33" s="33" t="s">
        <v>72</v>
      </c>
      <c r="J33" s="71">
        <f>K10/2</f>
        <v>2.625</v>
      </c>
      <c r="K33" s="33" t="s">
        <v>73</v>
      </c>
      <c r="L33" s="71">
        <f>K10/6</f>
        <v>0.875</v>
      </c>
      <c r="P33" s="18" t="b">
        <v>0</v>
      </c>
      <c r="Q33" s="48" t="s">
        <v>54</v>
      </c>
      <c r="R33" s="46">
        <v>0</v>
      </c>
      <c r="S33" s="50" t="s">
        <v>9</v>
      </c>
    </row>
    <row r="34" spans="2:19" ht="12.75">
      <c r="B34" s="22" t="s">
        <v>29</v>
      </c>
      <c r="C34" s="26">
        <v>52</v>
      </c>
      <c r="D34" s="24" t="s">
        <v>6</v>
      </c>
      <c r="P34" s="18" t="b">
        <v>0</v>
      </c>
      <c r="Q34" s="48" t="s">
        <v>68</v>
      </c>
      <c r="R34" s="46">
        <v>0</v>
      </c>
      <c r="S34" s="50" t="s">
        <v>12</v>
      </c>
    </row>
    <row r="35" spans="2:19" ht="13.5" thickBot="1">
      <c r="B35" s="23" t="s">
        <v>30</v>
      </c>
      <c r="C35" s="27">
        <v>45</v>
      </c>
      <c r="D35" s="25" t="s">
        <v>6</v>
      </c>
      <c r="P35" s="18" t="b">
        <v>0</v>
      </c>
      <c r="Q35" s="41" t="s">
        <v>16</v>
      </c>
      <c r="R35" s="55">
        <v>0</v>
      </c>
      <c r="S35" s="42" t="s">
        <v>6</v>
      </c>
    </row>
    <row r="36" ht="12.75">
      <c r="F36" s="8"/>
    </row>
    <row r="37" ht="13.5" thickBot="1">
      <c r="X37" s="46"/>
    </row>
    <row r="38" spans="1:24" ht="12.75">
      <c r="A38" s="3" t="s">
        <v>36</v>
      </c>
      <c r="B38" s="60">
        <f>Y28*P32+P33*R39+P34*R44+P35*R32</f>
        <v>0</v>
      </c>
      <c r="C38" s="7" t="s">
        <v>8</v>
      </c>
      <c r="D38" s="46"/>
      <c r="E38" s="46"/>
      <c r="F38" s="46"/>
      <c r="Q38" s="39" t="s">
        <v>74</v>
      </c>
      <c r="R38" s="61"/>
      <c r="S38" s="61"/>
      <c r="T38" s="61"/>
      <c r="U38" s="61"/>
      <c r="V38" s="40"/>
      <c r="X38" s="46"/>
    </row>
    <row r="39" spans="1:24" ht="14.25">
      <c r="A39" s="3" t="s">
        <v>34</v>
      </c>
      <c r="B39" s="162">
        <f>W28*P32+P33*U39+P34*R47+P35*R33</f>
        <v>0.5912229069718054</v>
      </c>
      <c r="C39" s="3" t="s">
        <v>9</v>
      </c>
      <c r="Q39" s="48" t="s">
        <v>70</v>
      </c>
      <c r="R39" s="46">
        <v>0</v>
      </c>
      <c r="S39" s="46" t="s">
        <v>8</v>
      </c>
      <c r="T39" s="46" t="s">
        <v>54</v>
      </c>
      <c r="U39" s="46">
        <f>3*(K10/2-H33)</f>
        <v>0.8365384615384612</v>
      </c>
      <c r="V39" s="50" t="s">
        <v>9</v>
      </c>
      <c r="X39" s="46"/>
    </row>
    <row r="40" spans="1:24" ht="14.25">
      <c r="A40" s="3" t="s">
        <v>66</v>
      </c>
      <c r="B40" s="60">
        <f>MIN(M6/2+0.000001,2/3*B39+0.00001)</f>
        <v>0.3941586046478702</v>
      </c>
      <c r="C40" s="2" t="s">
        <v>9</v>
      </c>
      <c r="Q40" s="64" t="s">
        <v>71</v>
      </c>
      <c r="R40" s="46">
        <f>2*C34/100/M9/(3*K10/2-3*ABS(H33))</f>
        <v>7.770114942528735</v>
      </c>
      <c r="S40" s="46" t="s">
        <v>12</v>
      </c>
      <c r="T40" s="46" t="s">
        <v>16</v>
      </c>
      <c r="U40" s="63">
        <f>C34</f>
        <v>52</v>
      </c>
      <c r="V40" s="50" t="s">
        <v>6</v>
      </c>
      <c r="X40" s="46"/>
    </row>
    <row r="41" spans="1:22" ht="15" thickBot="1">
      <c r="A41" s="3" t="s">
        <v>37</v>
      </c>
      <c r="B41" s="60">
        <f>AA28*P32+P33*R41+P34*U46+P35*R34</f>
        <v>7.228546951997014</v>
      </c>
      <c r="C41" s="3" t="s">
        <v>12</v>
      </c>
      <c r="D41" s="88">
        <f>IF(B41&gt;B27+0.1,"&gt;","")</f>
      </c>
      <c r="E41" s="5">
        <f>IF(B41&gt;B27+0.1,B27,"")</f>
      </c>
      <c r="F41" s="5">
        <f>IF(B41&gt;B27+0.1,"MPa","")</f>
      </c>
      <c r="Q41" s="41" t="s">
        <v>68</v>
      </c>
      <c r="R41" s="55">
        <f>R40*(U39-U41/2)/U39</f>
        <v>5.18007662835249</v>
      </c>
      <c r="S41" s="55"/>
      <c r="T41" s="55" t="s">
        <v>78</v>
      </c>
      <c r="U41" s="55">
        <f>MIN(M6/2,2*U39/3)</f>
        <v>0.5576923076923075</v>
      </c>
      <c r="V41" s="42"/>
    </row>
    <row r="42" spans="1:24" ht="13.5" thickBot="1">
      <c r="A42" s="3" t="s">
        <v>16</v>
      </c>
      <c r="B42" s="60">
        <f>Z28*P32+U40*P33+P34*U44+P35*R35</f>
        <v>51.28419050570228</v>
      </c>
      <c r="C42" s="3" t="s">
        <v>6</v>
      </c>
      <c r="X42" s="3">
        <f>2/3*R40</f>
        <v>5.18007662835249</v>
      </c>
    </row>
    <row r="43" spans="1:22" ht="14.25">
      <c r="A43" s="19" t="s">
        <v>38</v>
      </c>
      <c r="B43" s="8">
        <f>0.001*E19*B41/B28</f>
        <v>0.0009248820940281268</v>
      </c>
      <c r="Q43" s="39" t="s">
        <v>75</v>
      </c>
      <c r="R43" s="61"/>
      <c r="S43" s="61"/>
      <c r="T43" s="61"/>
      <c r="U43" s="61"/>
      <c r="V43" s="40"/>
    </row>
    <row r="44" spans="1:22" ht="14.25">
      <c r="A44" s="3" t="s">
        <v>39</v>
      </c>
      <c r="B44" s="3">
        <f>IF(B43&gt;0.001,B43,0)</f>
        <v>0</v>
      </c>
      <c r="D44" s="77">
        <f>IF(B44&gt;0,"Amin =","")</f>
      </c>
      <c r="E44" s="78">
        <f>IF(B44&gt;0,K44*B44*M9*10000,"")</f>
      </c>
      <c r="F44" s="77">
        <f>IF(B44&gt;0,"cm²","")</f>
      </c>
      <c r="G44" s="79">
        <f>IF(B44&gt;0,"dans la bande de largeur bf  =","")</f>
      </c>
      <c r="H44" s="80"/>
      <c r="I44" s="80"/>
      <c r="J44" s="80"/>
      <c r="K44" s="81">
        <f>IF(B44&gt;0,MIN(K10/2,1),"")</f>
      </c>
      <c r="L44" s="82">
        <f>IF(B44&gt;0,"m","")</f>
      </c>
      <c r="Q44" s="48" t="s">
        <v>62</v>
      </c>
      <c r="R44" s="46">
        <v>0</v>
      </c>
      <c r="S44" s="46" t="s">
        <v>8</v>
      </c>
      <c r="T44" s="46" t="s">
        <v>16</v>
      </c>
      <c r="U44" s="63">
        <f>C34</f>
        <v>52</v>
      </c>
      <c r="V44" s="50" t="s">
        <v>6</v>
      </c>
    </row>
    <row r="45" spans="1:22" ht="14.25">
      <c r="A45" s="5"/>
      <c r="B45" s="5"/>
      <c r="C45" s="5"/>
      <c r="Q45" s="64" t="s">
        <v>76</v>
      </c>
      <c r="R45" s="46">
        <f>C34*(K10-6*H33)/M9/K10^2/100</f>
        <v>-1.0408163265306123</v>
      </c>
      <c r="S45" s="46" t="s">
        <v>12</v>
      </c>
      <c r="T45" s="46" t="s">
        <v>78</v>
      </c>
      <c r="U45" s="46">
        <f>MIN(M6/2,2*R47/3)</f>
        <v>1.375</v>
      </c>
      <c r="V45" s="50"/>
    </row>
    <row r="46" spans="1:22" ht="14.25">
      <c r="A46" s="9" t="s">
        <v>15</v>
      </c>
      <c r="Q46" s="64" t="s">
        <v>77</v>
      </c>
      <c r="R46" s="46">
        <f>R45*(K10+6*H33)/(K10-6*H33)</f>
        <v>2.2789115646258504</v>
      </c>
      <c r="S46" s="46" t="s">
        <v>12</v>
      </c>
      <c r="T46" s="46" t="s">
        <v>68</v>
      </c>
      <c r="U46" s="46">
        <f>(K10-U45/2)*(R46-R45)/K10+R45</f>
        <v>1.8441852931648852</v>
      </c>
      <c r="V46" s="50"/>
    </row>
    <row r="47" spans="1:22" ht="15" thickBot="1">
      <c r="A47" s="19" t="s">
        <v>40</v>
      </c>
      <c r="B47" s="7">
        <f>MIN(2,100*B38/10000/B30/M9)</f>
        <v>0</v>
      </c>
      <c r="C47" s="3" t="s">
        <v>10</v>
      </c>
      <c r="D47" s="10">
        <f>IF(B48&gt;0.5*B23,"calcul en poteau!!!!!!!!!!!!!!!!!!!!!!!!!!!!!!!!!!!!!!!!!","")</f>
      </c>
      <c r="Q47" s="41" t="s">
        <v>54</v>
      </c>
      <c r="R47" s="62">
        <f>K10</f>
        <v>5.25</v>
      </c>
      <c r="S47" s="55" t="s">
        <v>9</v>
      </c>
      <c r="T47" s="55"/>
      <c r="U47" s="55"/>
      <c r="V47" s="42"/>
    </row>
    <row r="48" spans="1:11" ht="14.25">
      <c r="A48" s="19" t="s">
        <v>41</v>
      </c>
      <c r="B48" s="20">
        <f>MAX(0,C34/M9/K10/100)</f>
        <v>0.6190476190476191</v>
      </c>
      <c r="C48" s="3" t="s">
        <v>12</v>
      </c>
      <c r="E48" s="19" t="s">
        <v>42</v>
      </c>
      <c r="F48" s="7">
        <f>C33/C34/K10</f>
        <v>0.4468864468864469</v>
      </c>
      <c r="I48" s="19" t="s">
        <v>46</v>
      </c>
      <c r="J48" s="7">
        <f>B50*F50/C33</f>
        <v>1.0416009457122326</v>
      </c>
      <c r="K48" s="3" t="s">
        <v>12</v>
      </c>
    </row>
    <row r="49" spans="1:11" ht="14.25">
      <c r="A49" s="3" t="s">
        <v>13</v>
      </c>
      <c r="B49" s="20">
        <f>C35*(1+E19)/2</f>
        <v>67.5</v>
      </c>
      <c r="C49" s="3" t="s">
        <v>6</v>
      </c>
      <c r="E49" s="19" t="s">
        <v>44</v>
      </c>
      <c r="F49" s="7">
        <f>C33/K10/B49</f>
        <v>0.3442680776014109</v>
      </c>
      <c r="I49" s="19" t="s">
        <v>48</v>
      </c>
      <c r="J49" s="7">
        <f>0.45*SQRT((0.6+0.06*B23)*(0.6+0.06*B23+2/3*B48))</f>
        <v>1.1012512877335663</v>
      </c>
      <c r="K49" s="3" t="s">
        <v>12</v>
      </c>
    </row>
    <row r="50" spans="1:11" ht="14.25">
      <c r="A50" s="19" t="s">
        <v>43</v>
      </c>
      <c r="B50" s="7">
        <f>B49/M9/B30/100</f>
        <v>0.8160058027079303</v>
      </c>
      <c r="C50" s="3" t="s">
        <v>12</v>
      </c>
      <c r="E50" s="3" t="s">
        <v>45</v>
      </c>
      <c r="F50" s="20">
        <f>M9*K10^2/6*((0.6+0.06*B23)/1.5+B48)*100</f>
        <v>155.72844574780058</v>
      </c>
      <c r="G50" s="3" t="s">
        <v>11</v>
      </c>
      <c r="I50" s="19" t="s">
        <v>47</v>
      </c>
      <c r="J50" s="7">
        <f>MIN(J48,J49)*(1+3*B47)+0.15*B48</f>
        <v>1.1344580885693754</v>
      </c>
      <c r="K50" s="3" t="s">
        <v>12</v>
      </c>
    </row>
    <row r="51" spans="1:3" ht="14.25">
      <c r="A51" s="19" t="s">
        <v>49</v>
      </c>
      <c r="B51" s="7">
        <f>MAX(J50,0.5*(0.6+0.06*B23))</f>
        <v>1.1344580885693754</v>
      </c>
      <c r="C51" s="3" t="s">
        <v>12</v>
      </c>
    </row>
    <row r="52" spans="1:23" ht="12.75">
      <c r="A52" s="30">
        <f>IF(B50&lt;B51,"","At/st =")</f>
      </c>
      <c r="B52" s="31">
        <f>IF(B51&lt;B50,M9*(B50-B51)/0.9/H21*H22*10000,"")</f>
      </c>
      <c r="C52" s="30">
        <f>IF(B50&lt;B51,"","cm²/ml")</f>
      </c>
      <c r="D52" s="32"/>
      <c r="E52" s="159">
        <f>IF(B50&lt;B51,"",K10/3)</f>
      </c>
      <c r="F52" s="160">
        <f>IF(B50&lt;B51,"","m")</f>
      </c>
      <c r="G52" s="34">
        <f>IF(B50&lt;B51,"",IF(F49&gt;=1.5,"At placés horiz.",IF(F49&lt;=0.5,"At  placés  verti.","At  placés  verti.  et  horiz.")))</f>
      </c>
      <c r="H52" s="34"/>
      <c r="I52" s="34"/>
      <c r="J52" s="34"/>
      <c r="K52" s="34"/>
      <c r="Q52" s="65"/>
      <c r="R52" s="65"/>
      <c r="W52" s="4"/>
    </row>
    <row r="53" spans="1:22" ht="12.75">
      <c r="A53" s="9" t="s">
        <v>14</v>
      </c>
      <c r="N53" s="46"/>
      <c r="Q53" s="46"/>
      <c r="R53" s="65"/>
      <c r="S53" s="4"/>
      <c r="T53" s="4"/>
      <c r="U53" s="4"/>
      <c r="V53" s="4"/>
    </row>
    <row r="54" spans="1:14" ht="12.75">
      <c r="A54" s="3" t="s">
        <v>16</v>
      </c>
      <c r="B54" s="8">
        <f>B42</f>
        <v>51.28419050570228</v>
      </c>
      <c r="C54" s="3" t="s">
        <v>6</v>
      </c>
      <c r="D54" s="3" t="s">
        <v>50</v>
      </c>
      <c r="E54" s="3">
        <f>0.7</f>
        <v>0.7</v>
      </c>
      <c r="F54" s="1"/>
      <c r="G54" s="8"/>
      <c r="I54" s="30">
        <f>IF(B56="","Pas besoin d'acier de couture","")</f>
      </c>
      <c r="N54" s="46"/>
    </row>
    <row r="55" spans="1:17" ht="14.25">
      <c r="A55" s="3" t="s">
        <v>51</v>
      </c>
      <c r="B55" s="7">
        <f>D60*0.35*(0.6+0.06*B23)*M9*B39*100+E54*B54</f>
        <v>43.34688559696286</v>
      </c>
      <c r="C55" s="3" t="s">
        <v>6</v>
      </c>
      <c r="D55" s="30">
        <f>IF(B55&lt;B49,"","Pas besoin d'acier de couture")</f>
      </c>
      <c r="O55" s="46"/>
      <c r="Q55" s="7"/>
    </row>
    <row r="56" spans="1:15" ht="12.75">
      <c r="A56" s="30" t="str">
        <f>IF(B49&gt;B55,IF(B56="","","A couture ="),"")</f>
        <v>A couture =</v>
      </c>
      <c r="B56" s="31">
        <f>IF(B49&gt;B55,MAX(0,(B49-B55)/E54/H21)*100,"")</f>
        <v>6.900889829439183</v>
      </c>
      <c r="C56" s="30" t="str">
        <f>IF(B49&gt;B55,IF(B56="","","cm²  à répartir dans la section a x b, soit dans les deux sens :"),"")</f>
        <v>cm²  à répartir dans la section a x b, soit dans les deux sens :</v>
      </c>
      <c r="D56" s="30"/>
      <c r="E56" s="32"/>
      <c r="F56" s="32"/>
      <c r="G56" s="32"/>
      <c r="H56" s="32"/>
      <c r="I56" s="32"/>
      <c r="K56" s="31">
        <f>IF(B56="","",B56/K10)</f>
        <v>1.3144552056074634</v>
      </c>
      <c r="L56" s="30" t="str">
        <f>IF(B56="","",IF(B49&gt;B55," cm² /ml",""))</f>
        <v> cm² /ml</v>
      </c>
      <c r="O56" s="46"/>
    </row>
    <row r="59" spans="3:11" ht="12.75">
      <c r="C59" s="32"/>
      <c r="D59" s="34"/>
      <c r="E59" s="34"/>
      <c r="F59" s="34"/>
      <c r="G59" s="34"/>
      <c r="H59" s="34"/>
      <c r="I59" s="34"/>
      <c r="J59" s="31"/>
      <c r="K59" s="30"/>
    </row>
    <row r="60" spans="1:5" ht="12.75">
      <c r="A60" s="8" t="s">
        <v>204</v>
      </c>
      <c r="D60" s="90">
        <v>1</v>
      </c>
      <c r="E60" s="3" t="s">
        <v>205</v>
      </c>
    </row>
    <row r="62" spans="13:15" ht="12.75">
      <c r="M62" s="8"/>
      <c r="O62" s="8"/>
    </row>
    <row r="63" spans="14:15" ht="12.75">
      <c r="N63" s="8"/>
      <c r="O63" s="8"/>
    </row>
  </sheetData>
  <printOptions horizontalCentered="1" verticalCentered="1"/>
  <pageMargins left="0.5905511811023623" right="0.5905511811023623" top="0.1968503937007874" bottom="0.3937007874015748" header="0.1968503937007874" footer="0.1968503937007874"/>
  <pageSetup horizontalDpi="300" verticalDpi="300" orientation="portrait" paperSize="9" r:id="rId4"/>
  <headerFooter alignWithMargins="0">
    <oddFooter>&amp;Cvoile_PS92_V0.xls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1">
    <pageSetUpPr fitToPage="1"/>
  </sheetPr>
  <dimension ref="A1:AL30"/>
  <sheetViews>
    <sheetView workbookViewId="0" topLeftCell="A1">
      <selection activeCell="K7" sqref="K7"/>
    </sheetView>
  </sheetViews>
  <sheetFormatPr defaultColWidth="11.421875" defaultRowHeight="12.75"/>
  <cols>
    <col min="1" max="1" width="6.57421875" style="3" customWidth="1"/>
    <col min="2" max="2" width="5.8515625" style="3" customWidth="1"/>
    <col min="3" max="3" width="5.28125" style="3" customWidth="1"/>
    <col min="4" max="4" width="5.00390625" style="3" customWidth="1"/>
    <col min="5" max="5" width="6.7109375" style="3" customWidth="1"/>
    <col min="6" max="6" width="7.7109375" style="3" customWidth="1"/>
    <col min="7" max="7" width="7.28125" style="3" customWidth="1"/>
    <col min="8" max="8" width="3.8515625" style="3" customWidth="1"/>
    <col min="9" max="9" width="4.7109375" style="3" bestFit="1" customWidth="1"/>
    <col min="10" max="10" width="4.140625" style="3" hidden="1" customWidth="1"/>
    <col min="11" max="11" width="5.57421875" style="3" customWidth="1"/>
    <col min="12" max="12" width="7.00390625" style="3" customWidth="1"/>
    <col min="13" max="13" width="6.7109375" style="3" customWidth="1"/>
    <col min="14" max="14" width="4.00390625" style="3" bestFit="1" customWidth="1"/>
    <col min="15" max="15" width="4.7109375" style="3" bestFit="1" customWidth="1"/>
    <col min="16" max="16" width="6.57421875" style="3" hidden="1" customWidth="1"/>
    <col min="17" max="17" width="4.8515625" style="7" customWidth="1"/>
    <col min="18" max="18" width="4.8515625" style="7" bestFit="1" customWidth="1"/>
    <col min="19" max="19" width="4.00390625" style="3" bestFit="1" customWidth="1"/>
    <col min="20" max="20" width="4.57421875" style="3" customWidth="1"/>
    <col min="21" max="21" width="4.8515625" style="3" customWidth="1"/>
    <col min="22" max="22" width="5.00390625" style="3" bestFit="1" customWidth="1"/>
    <col min="23" max="23" width="4.421875" style="3" customWidth="1"/>
    <col min="24" max="24" width="4.00390625" style="3" bestFit="1" customWidth="1"/>
    <col min="25" max="25" width="5.00390625" style="3" customWidth="1"/>
    <col min="26" max="26" width="5.28125" style="3" customWidth="1"/>
    <col min="27" max="27" width="5.00390625" style="3" bestFit="1" customWidth="1"/>
    <col min="28" max="29" width="5.00390625" style="3" hidden="1" customWidth="1"/>
    <col min="30" max="30" width="4.421875" style="3" hidden="1" customWidth="1"/>
    <col min="31" max="31" width="5.8515625" style="3" hidden="1" customWidth="1"/>
    <col min="32" max="33" width="5.00390625" style="3" hidden="1" customWidth="1"/>
    <col min="34" max="34" width="2.8515625" style="3" customWidth="1"/>
    <col min="35" max="35" width="5.28125" style="3" bestFit="1" customWidth="1"/>
    <col min="36" max="36" width="5.00390625" style="3" bestFit="1" customWidth="1"/>
    <col min="37" max="38" width="4.8515625" style="7" bestFit="1" customWidth="1"/>
    <col min="39" max="16384" width="11.421875" style="3" customWidth="1"/>
  </cols>
  <sheetData>
    <row r="1" spans="1:38" s="188" customFormat="1" ht="55.5" customHeight="1">
      <c r="A1" s="187" t="s">
        <v>240</v>
      </c>
      <c r="Q1" s="189"/>
      <c r="R1" s="189"/>
      <c r="AK1" s="189"/>
      <c r="AL1" s="189"/>
    </row>
    <row r="2" spans="1:8" ht="12" customHeight="1">
      <c r="A2" s="3" t="s">
        <v>384</v>
      </c>
      <c r="B2" s="150"/>
      <c r="C2" s="150"/>
      <c r="E2" s="141"/>
      <c r="F2" s="132" t="s">
        <v>113</v>
      </c>
      <c r="G2" s="142" t="s">
        <v>114</v>
      </c>
      <c r="H2" s="133"/>
    </row>
    <row r="3" spans="1:8" ht="14.25">
      <c r="A3" s="123" t="s">
        <v>201</v>
      </c>
      <c r="B3" s="124">
        <v>5</v>
      </c>
      <c r="C3" s="125"/>
      <c r="E3" s="126" t="s">
        <v>110</v>
      </c>
      <c r="F3" s="146">
        <v>2.5</v>
      </c>
      <c r="G3" s="147">
        <v>2.5</v>
      </c>
      <c r="H3" s="137"/>
    </row>
    <row r="4" spans="1:8" ht="12.75">
      <c r="A4" s="126" t="s">
        <v>7</v>
      </c>
      <c r="B4" s="86">
        <v>2</v>
      </c>
      <c r="C4" s="127"/>
      <c r="E4" s="135" t="s">
        <v>117</v>
      </c>
      <c r="F4" s="148">
        <v>3.75</v>
      </c>
      <c r="G4" s="149">
        <v>3.75</v>
      </c>
      <c r="H4" s="134"/>
    </row>
    <row r="5" spans="1:8" ht="14.25">
      <c r="A5" s="126" t="s">
        <v>102</v>
      </c>
      <c r="B5" s="86">
        <v>3216500</v>
      </c>
      <c r="C5" s="127" t="s">
        <v>32</v>
      </c>
      <c r="E5" s="136" t="s">
        <v>112</v>
      </c>
      <c r="F5" s="190">
        <v>200.90170117869707</v>
      </c>
      <c r="G5" s="191">
        <v>1010.9491824414561</v>
      </c>
      <c r="H5" s="134"/>
    </row>
    <row r="6" spans="1:8" ht="14.25">
      <c r="A6" s="126" t="s">
        <v>109</v>
      </c>
      <c r="B6" s="86">
        <v>1.5</v>
      </c>
      <c r="C6" s="127" t="s">
        <v>181</v>
      </c>
      <c r="E6" s="135" t="s">
        <v>111</v>
      </c>
      <c r="F6" s="139">
        <v>0.44329013607589957</v>
      </c>
      <c r="G6" s="144">
        <v>0.19761286384192753</v>
      </c>
      <c r="H6" s="134" t="s">
        <v>182</v>
      </c>
    </row>
    <row r="7" spans="1:8" ht="14.25">
      <c r="A7" s="128" t="s">
        <v>107</v>
      </c>
      <c r="B7" s="86">
        <v>1</v>
      </c>
      <c r="C7" s="127"/>
      <c r="E7" s="135" t="s">
        <v>243</v>
      </c>
      <c r="F7" s="138">
        <v>1537.5757904363365</v>
      </c>
      <c r="G7" s="143">
        <v>1423.7362491813005</v>
      </c>
      <c r="H7" s="134" t="s">
        <v>6</v>
      </c>
    </row>
    <row r="8" spans="1:33" ht="14.25">
      <c r="A8" s="128" t="s">
        <v>115</v>
      </c>
      <c r="B8" s="86">
        <v>1</v>
      </c>
      <c r="C8" s="127"/>
      <c r="E8" s="129" t="s">
        <v>242</v>
      </c>
      <c r="F8" s="140">
        <v>0.7518708021693578</v>
      </c>
      <c r="G8" s="145">
        <v>0.6962035448319318</v>
      </c>
      <c r="H8" s="131"/>
      <c r="T8" s="311" t="s">
        <v>113</v>
      </c>
      <c r="U8" s="312"/>
      <c r="V8" s="312"/>
      <c r="W8" s="313"/>
      <c r="X8" s="311" t="s">
        <v>114</v>
      </c>
      <c r="Y8" s="312"/>
      <c r="Z8" s="312"/>
      <c r="AA8" s="313"/>
      <c r="AB8" s="311" t="s">
        <v>113</v>
      </c>
      <c r="AC8" s="312"/>
      <c r="AD8" s="313"/>
      <c r="AE8" s="311" t="s">
        <v>114</v>
      </c>
      <c r="AF8" s="312"/>
      <c r="AG8" s="313"/>
    </row>
    <row r="9" spans="1:38" ht="14.25">
      <c r="A9" s="128" t="s">
        <v>116</v>
      </c>
      <c r="B9" s="86">
        <v>1</v>
      </c>
      <c r="C9" s="127"/>
      <c r="T9" s="304" t="s">
        <v>192</v>
      </c>
      <c r="U9" s="309" t="s">
        <v>246</v>
      </c>
      <c r="V9" s="314" t="s">
        <v>197</v>
      </c>
      <c r="W9" s="309" t="s">
        <v>247</v>
      </c>
      <c r="X9" s="304" t="s">
        <v>193</v>
      </c>
      <c r="Y9" s="309" t="s">
        <v>248</v>
      </c>
      <c r="Z9" s="314" t="s">
        <v>198</v>
      </c>
      <c r="AA9" s="309" t="s">
        <v>249</v>
      </c>
      <c r="AB9" s="304" t="s">
        <v>186</v>
      </c>
      <c r="AC9" s="315" t="s">
        <v>187</v>
      </c>
      <c r="AD9" s="304" t="s">
        <v>188</v>
      </c>
      <c r="AE9" s="304" t="s">
        <v>189</v>
      </c>
      <c r="AF9" s="315" t="s">
        <v>191</v>
      </c>
      <c r="AG9" s="304" t="s">
        <v>190</v>
      </c>
      <c r="AH9" s="310" t="s">
        <v>196</v>
      </c>
      <c r="AI9" s="305" t="s">
        <v>194</v>
      </c>
      <c r="AJ9" s="305" t="s">
        <v>195</v>
      </c>
      <c r="AK9" s="305" t="s">
        <v>199</v>
      </c>
      <c r="AL9" s="305" t="s">
        <v>200</v>
      </c>
    </row>
    <row r="10" spans="1:38" ht="14.25" customHeight="1">
      <c r="A10" s="129" t="s">
        <v>108</v>
      </c>
      <c r="B10" s="130">
        <v>2045</v>
      </c>
      <c r="C10" s="131" t="s">
        <v>6</v>
      </c>
      <c r="T10" s="304"/>
      <c r="U10" s="309"/>
      <c r="V10" s="314"/>
      <c r="W10" s="309"/>
      <c r="X10" s="304"/>
      <c r="Y10" s="309"/>
      <c r="Z10" s="314"/>
      <c r="AA10" s="309"/>
      <c r="AB10" s="304"/>
      <c r="AC10" s="315"/>
      <c r="AD10" s="304"/>
      <c r="AE10" s="304"/>
      <c r="AF10" s="315"/>
      <c r="AG10" s="304"/>
      <c r="AH10" s="310"/>
      <c r="AI10" s="305"/>
      <c r="AJ10" s="305"/>
      <c r="AK10" s="305"/>
      <c r="AL10" s="305"/>
    </row>
    <row r="11" spans="5:38" ht="12.75">
      <c r="E11" s="306" t="s">
        <v>113</v>
      </c>
      <c r="F11" s="307"/>
      <c r="G11" s="307"/>
      <c r="H11" s="307"/>
      <c r="I11" s="308"/>
      <c r="K11" s="306" t="s">
        <v>114</v>
      </c>
      <c r="L11" s="307"/>
      <c r="M11" s="307"/>
      <c r="N11" s="307"/>
      <c r="O11" s="308"/>
      <c r="T11" s="304"/>
      <c r="U11" s="309"/>
      <c r="V11" s="314"/>
      <c r="W11" s="309"/>
      <c r="X11" s="304"/>
      <c r="Y11" s="309"/>
      <c r="Z11" s="314"/>
      <c r="AA11" s="309"/>
      <c r="AB11" s="304"/>
      <c r="AC11" s="315"/>
      <c r="AD11" s="304"/>
      <c r="AE11" s="304"/>
      <c r="AF11" s="315"/>
      <c r="AG11" s="304"/>
      <c r="AH11" s="310"/>
      <c r="AI11" s="305"/>
      <c r="AJ11" s="305"/>
      <c r="AK11" s="305"/>
      <c r="AL11" s="305"/>
    </row>
    <row r="12" spans="1:38" ht="12.75">
      <c r="A12" s="141" t="s">
        <v>245</v>
      </c>
      <c r="B12" s="151" t="s">
        <v>97</v>
      </c>
      <c r="C12" s="151" t="s">
        <v>98</v>
      </c>
      <c r="D12" s="152" t="s">
        <v>99</v>
      </c>
      <c r="E12" s="151" t="s">
        <v>241</v>
      </c>
      <c r="F12" s="153" t="s">
        <v>100</v>
      </c>
      <c r="G12" s="152" t="s">
        <v>101</v>
      </c>
      <c r="H12" s="183" t="s">
        <v>103</v>
      </c>
      <c r="I12" s="184" t="s">
        <v>238</v>
      </c>
      <c r="J12" s="152" t="s">
        <v>104</v>
      </c>
      <c r="K12" s="151" t="s">
        <v>244</v>
      </c>
      <c r="L12" s="153" t="s">
        <v>100</v>
      </c>
      <c r="M12" s="152" t="s">
        <v>101</v>
      </c>
      <c r="N12" s="183" t="s">
        <v>105</v>
      </c>
      <c r="O12" s="184" t="s">
        <v>239</v>
      </c>
      <c r="P12" s="152" t="s">
        <v>106</v>
      </c>
      <c r="Q12" s="154" t="s">
        <v>184</v>
      </c>
      <c r="R12" s="154" t="s">
        <v>185</v>
      </c>
      <c r="S12" s="186" t="s">
        <v>183</v>
      </c>
      <c r="T12" s="304"/>
      <c r="U12" s="309"/>
      <c r="V12" s="314"/>
      <c r="W12" s="309"/>
      <c r="X12" s="304"/>
      <c r="Y12" s="309"/>
      <c r="Z12" s="314"/>
      <c r="AA12" s="309"/>
      <c r="AB12" s="304"/>
      <c r="AC12" s="315"/>
      <c r="AD12" s="304"/>
      <c r="AE12" s="304"/>
      <c r="AF12" s="315"/>
      <c r="AG12" s="304"/>
      <c r="AH12" s="310"/>
      <c r="AI12" s="305"/>
      <c r="AJ12" s="305"/>
      <c r="AK12" s="305"/>
      <c r="AL12" s="305"/>
    </row>
    <row r="13" spans="1:38" ht="12.75">
      <c r="A13" s="4" t="s">
        <v>237</v>
      </c>
      <c r="B13" s="3">
        <v>2.76</v>
      </c>
      <c r="C13" s="3">
        <v>379</v>
      </c>
      <c r="D13" s="3">
        <v>2.76</v>
      </c>
      <c r="E13" s="3">
        <v>1.9</v>
      </c>
      <c r="F13" s="155">
        <v>0.005724402627897272</v>
      </c>
      <c r="G13" s="155">
        <v>0.008485951680070688</v>
      </c>
      <c r="H13" s="192">
        <v>12.115034376693648</v>
      </c>
      <c r="I13" s="192">
        <v>288.2954607068131</v>
      </c>
      <c r="J13" s="7">
        <v>0.31822318800265087</v>
      </c>
      <c r="K13" s="3">
        <v>13.6</v>
      </c>
      <c r="L13" s="155">
        <v>0.0007997327200738836</v>
      </c>
      <c r="M13" s="155">
        <v>0.001185537367068699</v>
      </c>
      <c r="N13" s="192">
        <v>8.516968764842423</v>
      </c>
      <c r="O13" s="192">
        <v>266.9505467214939</v>
      </c>
      <c r="P13" s="7">
        <v>0.04445765126507622</v>
      </c>
      <c r="Q13" s="7">
        <v>25</v>
      </c>
      <c r="R13" s="7">
        <v>13.5</v>
      </c>
      <c r="S13" s="3">
        <v>0.2</v>
      </c>
      <c r="T13" s="3">
        <v>0.5</v>
      </c>
      <c r="U13" s="3">
        <v>2.58</v>
      </c>
      <c r="V13" s="7">
        <v>3.08</v>
      </c>
      <c r="W13" s="3">
        <v>3.58</v>
      </c>
      <c r="X13" s="3">
        <v>0.27</v>
      </c>
      <c r="Y13" s="3">
        <v>-4.03</v>
      </c>
      <c r="Z13" s="7">
        <v>-3.76</v>
      </c>
      <c r="AA13" s="3">
        <v>-3.49</v>
      </c>
      <c r="AB13" s="7">
        <v>-0.16305325979440735</v>
      </c>
      <c r="AC13" s="7">
        <v>1.5231819320011797</v>
      </c>
      <c r="AD13" s="7">
        <v>3.209417123796767</v>
      </c>
      <c r="AE13" s="7">
        <v>-0.9791190725848344</v>
      </c>
      <c r="AF13" s="7">
        <v>0.036536890167353724</v>
      </c>
      <c r="AG13" s="7">
        <v>1.0521928529195417</v>
      </c>
      <c r="AH13" s="3">
        <v>0</v>
      </c>
      <c r="AI13" s="3">
        <v>17.96</v>
      </c>
      <c r="AJ13" s="3">
        <v>5.72</v>
      </c>
      <c r="AK13" s="7">
        <v>14.2</v>
      </c>
      <c r="AL13" s="7">
        <v>8.8</v>
      </c>
    </row>
    <row r="14" spans="1:38" ht="12.75">
      <c r="A14" s="4">
        <v>1</v>
      </c>
      <c r="B14" s="3">
        <v>2.76</v>
      </c>
      <c r="C14" s="3">
        <v>631</v>
      </c>
      <c r="D14" s="3">
        <v>5.52</v>
      </c>
      <c r="E14" s="3">
        <v>23</v>
      </c>
      <c r="F14" s="155">
        <v>0.006006228960867893</v>
      </c>
      <c r="G14" s="155">
        <v>0.024713678959182504</v>
      </c>
      <c r="H14" s="192">
        <v>58.74239459389057</v>
      </c>
      <c r="I14" s="192">
        <v>276.1804263301195</v>
      </c>
      <c r="J14" s="7">
        <v>0.9267629609693439</v>
      </c>
      <c r="K14" s="3">
        <v>17.1</v>
      </c>
      <c r="L14" s="155">
        <v>0.0011787973784554194</v>
      </c>
      <c r="M14" s="155">
        <v>0.0039689779552125526</v>
      </c>
      <c r="N14" s="192">
        <v>47.472121817955646</v>
      </c>
      <c r="O14" s="192">
        <v>258.43357795665145</v>
      </c>
      <c r="P14" s="7">
        <v>0.14883667332047074</v>
      </c>
      <c r="Q14" s="7">
        <v>37</v>
      </c>
      <c r="R14" s="7">
        <v>20</v>
      </c>
      <c r="S14" s="3">
        <v>0.4</v>
      </c>
      <c r="T14" s="3">
        <v>1.48</v>
      </c>
      <c r="U14" s="3">
        <v>4.07</v>
      </c>
      <c r="V14" s="7">
        <v>5.55</v>
      </c>
      <c r="W14" s="3">
        <v>7.03</v>
      </c>
      <c r="X14" s="3">
        <v>0.8</v>
      </c>
      <c r="Y14" s="3">
        <v>-0.26</v>
      </c>
      <c r="Z14" s="7">
        <v>0.54</v>
      </c>
      <c r="AA14" s="3">
        <v>1.34</v>
      </c>
      <c r="AB14" s="7">
        <v>-0.2833810649944336</v>
      </c>
      <c r="AC14" s="7">
        <v>1.4548899655403889</v>
      </c>
      <c r="AD14" s="7">
        <v>3.193160996075211</v>
      </c>
      <c r="AE14" s="7">
        <v>-0.8785738656906787</v>
      </c>
      <c r="AF14" s="7">
        <v>0.16165602663479478</v>
      </c>
      <c r="AG14" s="7">
        <v>1.2018859189602682</v>
      </c>
      <c r="AH14" s="3">
        <v>0</v>
      </c>
      <c r="AI14" s="3">
        <v>5.71</v>
      </c>
      <c r="AJ14" s="3">
        <v>-3.45</v>
      </c>
      <c r="AK14" s="7">
        <v>6.25</v>
      </c>
      <c r="AL14" s="7">
        <v>2.1</v>
      </c>
    </row>
    <row r="15" spans="1:38" ht="12.75">
      <c r="A15" s="4">
        <v>2</v>
      </c>
      <c r="B15" s="3">
        <v>2.76</v>
      </c>
      <c r="C15" s="3">
        <v>404</v>
      </c>
      <c r="D15" s="3">
        <v>8.28</v>
      </c>
      <c r="E15" s="3">
        <v>23</v>
      </c>
      <c r="F15" s="155">
        <v>0.006148995570536787</v>
      </c>
      <c r="G15" s="155">
        <v>0.04151240059862387</v>
      </c>
      <c r="H15" s="192">
        <v>63.17483264458387</v>
      </c>
      <c r="I15" s="192">
        <v>217.43803173622888</v>
      </c>
      <c r="J15" s="7">
        <v>1.5567150224483954</v>
      </c>
      <c r="K15" s="3">
        <v>17.1</v>
      </c>
      <c r="L15" s="155">
        <v>0.0013708226429223539</v>
      </c>
      <c r="M15" s="155">
        <v>0.0075204226537411815</v>
      </c>
      <c r="N15" s="192">
        <v>57.59094588560993</v>
      </c>
      <c r="O15" s="192">
        <v>210.9614561386958</v>
      </c>
      <c r="P15" s="7">
        <v>0.28201584951529435</v>
      </c>
      <c r="Q15" s="7">
        <v>25</v>
      </c>
      <c r="R15" s="7">
        <v>13.5</v>
      </c>
      <c r="S15" s="3">
        <v>0.6</v>
      </c>
      <c r="T15" s="3">
        <v>1.5</v>
      </c>
      <c r="U15" s="3">
        <v>-0.89</v>
      </c>
      <c r="V15" s="7">
        <v>0.61</v>
      </c>
      <c r="W15" s="3">
        <v>2.11</v>
      </c>
      <c r="X15" s="3">
        <v>0.81</v>
      </c>
      <c r="Y15" s="3">
        <v>-0.74</v>
      </c>
      <c r="Z15" s="7">
        <v>0.07000000000000028</v>
      </c>
      <c r="AA15" s="3">
        <v>0.88</v>
      </c>
      <c r="AB15" s="7">
        <v>-1.4594771982030657</v>
      </c>
      <c r="AC15" s="7">
        <v>0.3485675451763046</v>
      </c>
      <c r="AD15" s="7">
        <v>2.156612288555675</v>
      </c>
      <c r="AE15" s="7">
        <v>-1.0177699749845288</v>
      </c>
      <c r="AF15" s="7">
        <v>0.07651824117661071</v>
      </c>
      <c r="AG15" s="7">
        <v>1.17080645733775</v>
      </c>
      <c r="AH15" s="3">
        <v>0</v>
      </c>
      <c r="AI15" s="3">
        <v>12.43</v>
      </c>
      <c r="AJ15" s="3">
        <v>6.59</v>
      </c>
      <c r="AK15" s="7">
        <v>12.5</v>
      </c>
      <c r="AL15" s="7">
        <v>7.2</v>
      </c>
    </row>
    <row r="16" spans="1:38" ht="12.75">
      <c r="A16" s="4">
        <v>3</v>
      </c>
      <c r="B16" s="3">
        <v>2.76</v>
      </c>
      <c r="C16" s="3">
        <v>393</v>
      </c>
      <c r="D16" s="3">
        <v>11.04</v>
      </c>
      <c r="E16" s="3">
        <v>281.6</v>
      </c>
      <c r="F16" s="3">
        <v>0.006153650569441582</v>
      </c>
      <c r="G16" s="3">
        <v>0.05849127283185012</v>
      </c>
      <c r="H16" s="192">
        <v>86.59015336684155</v>
      </c>
      <c r="I16" s="192">
        <v>154.263199091645</v>
      </c>
      <c r="J16" s="3">
        <v>2.19342273119438</v>
      </c>
      <c r="K16" s="3">
        <v>39.3</v>
      </c>
      <c r="L16" s="3">
        <v>0.001404177546016253</v>
      </c>
      <c r="M16" s="3">
        <v>0.011358668708669806</v>
      </c>
      <c r="N16" s="192">
        <v>84.61562774903746</v>
      </c>
      <c r="O16" s="192">
        <v>153.37051025308588</v>
      </c>
      <c r="P16" s="3">
        <v>0.4259500765751178</v>
      </c>
      <c r="Q16" s="7">
        <v>25</v>
      </c>
      <c r="R16" s="7">
        <v>13.5</v>
      </c>
      <c r="S16" s="3">
        <v>0.8</v>
      </c>
      <c r="T16" s="3">
        <v>2</v>
      </c>
      <c r="U16" s="3">
        <v>-1.39</v>
      </c>
      <c r="V16" s="3">
        <v>0.61</v>
      </c>
      <c r="W16" s="3">
        <v>2.61</v>
      </c>
      <c r="X16" s="3">
        <v>1.08</v>
      </c>
      <c r="Y16" s="3">
        <v>-1.01</v>
      </c>
      <c r="Z16" s="3">
        <v>0.07000000000000028</v>
      </c>
      <c r="AA16" s="3">
        <v>1.15</v>
      </c>
      <c r="AB16" s="3">
        <v>-1.6926930714847557</v>
      </c>
      <c r="AC16" s="3">
        <v>0.24150408688812366</v>
      </c>
      <c r="AD16" s="3">
        <v>2.175701245261003</v>
      </c>
      <c r="AE16" s="3">
        <v>-1.1220731788506666</v>
      </c>
      <c r="AF16" s="3">
        <v>0.07896585430805343</v>
      </c>
      <c r="AG16" s="3">
        <v>1.2800048874667733</v>
      </c>
      <c r="AH16" s="3">
        <v>0</v>
      </c>
      <c r="AI16" s="3">
        <v>12.43</v>
      </c>
      <c r="AJ16" s="3">
        <v>6.59</v>
      </c>
      <c r="AK16" s="7">
        <v>12.5</v>
      </c>
      <c r="AL16" s="7">
        <v>7.2</v>
      </c>
    </row>
    <row r="17" spans="1:38" ht="12.75">
      <c r="A17" s="4">
        <v>4</v>
      </c>
      <c r="B17" s="3">
        <v>2.76</v>
      </c>
      <c r="C17" s="3">
        <v>238</v>
      </c>
      <c r="D17" s="3">
        <v>13.8</v>
      </c>
      <c r="E17" s="3">
        <v>61.2</v>
      </c>
      <c r="F17" s="3">
        <v>0.006158255574882278</v>
      </c>
      <c r="G17" s="3">
        <v>0.07548382161351977</v>
      </c>
      <c r="H17" s="192">
        <v>67.67304572480346</v>
      </c>
      <c r="I17" s="192">
        <v>67.67304572480346</v>
      </c>
      <c r="J17" s="3">
        <v>2.8306433105069915</v>
      </c>
      <c r="K17" s="3">
        <v>83.8</v>
      </c>
      <c r="L17" s="3">
        <v>0.0014075406287485993</v>
      </c>
      <c r="M17" s="3">
        <v>0.01524038680790218</v>
      </c>
      <c r="N17" s="192">
        <v>68.75488250404842</v>
      </c>
      <c r="O17" s="192">
        <v>68.75488250404842</v>
      </c>
      <c r="P17" s="3">
        <v>0.5715145052963317</v>
      </c>
      <c r="Q17" s="7">
        <v>18.5</v>
      </c>
      <c r="R17" s="7">
        <v>13.5</v>
      </c>
      <c r="S17" s="3">
        <v>1</v>
      </c>
      <c r="T17" s="3">
        <v>1.85</v>
      </c>
      <c r="U17" s="3">
        <v>-2.08</v>
      </c>
      <c r="V17" s="3">
        <v>-0.23</v>
      </c>
      <c r="W17" s="3">
        <v>1.62</v>
      </c>
      <c r="X17" s="3">
        <v>1.35</v>
      </c>
      <c r="Y17" s="3">
        <v>-1.26</v>
      </c>
      <c r="Z17" s="3">
        <v>0.08999999999999986</v>
      </c>
      <c r="AA17" s="3">
        <v>1.44</v>
      </c>
      <c r="AB17" s="3">
        <v>-2.08</v>
      </c>
      <c r="AC17" s="3">
        <v>-0.23</v>
      </c>
      <c r="AD17" s="3">
        <v>1.62</v>
      </c>
      <c r="AE17" s="3">
        <v>-1.26</v>
      </c>
      <c r="AF17" s="3">
        <v>0.08999999999999986</v>
      </c>
      <c r="AG17" s="3">
        <v>1.44</v>
      </c>
      <c r="AH17" s="3">
        <v>0</v>
      </c>
      <c r="AI17" s="3">
        <v>9.71</v>
      </c>
      <c r="AJ17" s="3">
        <v>7.13</v>
      </c>
      <c r="AK17" s="7">
        <v>9.8</v>
      </c>
      <c r="AL17" s="7">
        <v>6.9</v>
      </c>
    </row>
    <row r="18" ht="12.75">
      <c r="A18" s="4"/>
    </row>
    <row r="29" spans="17:38" ht="12.75">
      <c r="Q29" s="3"/>
      <c r="R29" s="3"/>
      <c r="AK29" s="3"/>
      <c r="AL29" s="3"/>
    </row>
    <row r="30" spans="17:38" ht="12.75">
      <c r="Q30" s="3"/>
      <c r="R30" s="3"/>
      <c r="AK30" s="3"/>
      <c r="AL30" s="3"/>
    </row>
  </sheetData>
  <mergeCells count="25">
    <mergeCell ref="AL9:AL12"/>
    <mergeCell ref="AI9:AI12"/>
    <mergeCell ref="AJ9:AJ12"/>
    <mergeCell ref="AD9:AD12"/>
    <mergeCell ref="AE9:AE12"/>
    <mergeCell ref="AF9:AF12"/>
    <mergeCell ref="V9:V12"/>
    <mergeCell ref="Z9:Z12"/>
    <mergeCell ref="AC9:AC12"/>
    <mergeCell ref="AB9:AB12"/>
    <mergeCell ref="X9:X12"/>
    <mergeCell ref="T8:W8"/>
    <mergeCell ref="AE8:AG8"/>
    <mergeCell ref="AB8:AD8"/>
    <mergeCell ref="X8:AA8"/>
    <mergeCell ref="T9:T12"/>
    <mergeCell ref="AK9:AK12"/>
    <mergeCell ref="E11:I11"/>
    <mergeCell ref="K11:O11"/>
    <mergeCell ref="AG9:AG12"/>
    <mergeCell ref="W9:W12"/>
    <mergeCell ref="U9:U12"/>
    <mergeCell ref="AH9:AH12"/>
    <mergeCell ref="AA9:AA12"/>
    <mergeCell ref="Y9:Y12"/>
  </mergeCells>
  <printOptions horizontalCentered="1" verticalCentered="1"/>
  <pageMargins left="0.27" right="0.32" top="0.1968503937007874" bottom="0.3937007874015748" header="0.1968503937007874" footer="0.1968503937007874"/>
  <pageSetup fitToHeight="1" fitToWidth="1" horizontalDpi="300" verticalDpi="300" orientation="landscape" paperSize="9" scale="92" r:id="rId4"/>
  <headerFooter alignWithMargins="0">
    <oddFooter>&amp;Cvoile_PS92_V0.xls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22"/>
  <dimension ref="A2:J65536"/>
  <sheetViews>
    <sheetView workbookViewId="0" topLeftCell="A1">
      <selection activeCell="F25" sqref="F25"/>
    </sheetView>
  </sheetViews>
  <sheetFormatPr defaultColWidth="11.421875" defaultRowHeight="12.75"/>
  <cols>
    <col min="1" max="1" width="11.140625" style="95" bestFit="1" customWidth="1"/>
    <col min="2" max="11" width="8.7109375" style="95" customWidth="1"/>
    <col min="12" max="16384" width="11.421875" style="95" customWidth="1"/>
  </cols>
  <sheetData>
    <row r="2" ht="15.75">
      <c r="A2" s="117" t="s">
        <v>179</v>
      </c>
    </row>
    <row r="3" ht="16.5" thickBot="1"/>
    <row r="4" spans="1:10" ht="15.75">
      <c r="A4" s="95" t="s">
        <v>136</v>
      </c>
      <c r="B4" s="96">
        <v>1.35</v>
      </c>
      <c r="C4" s="97"/>
      <c r="E4" s="98"/>
      <c r="F4" s="99"/>
      <c r="G4" s="99"/>
      <c r="H4" s="100"/>
      <c r="J4" s="317" t="s">
        <v>133</v>
      </c>
    </row>
    <row r="5" spans="1:10" ht="16.5" thickBot="1">
      <c r="A5" s="95" t="s">
        <v>135</v>
      </c>
      <c r="B5" s="96">
        <v>0.2</v>
      </c>
      <c r="C5" s="97"/>
      <c r="E5" s="101"/>
      <c r="F5" s="102"/>
      <c r="G5" s="102"/>
      <c r="H5" s="103"/>
      <c r="J5" s="317"/>
    </row>
    <row r="6" spans="1:10" ht="15.75">
      <c r="A6" s="95" t="s">
        <v>126</v>
      </c>
      <c r="B6" s="96">
        <v>5.13</v>
      </c>
      <c r="C6" s="97"/>
      <c r="E6" s="101"/>
      <c r="F6" s="102"/>
      <c r="G6" s="104"/>
      <c r="H6" s="103"/>
      <c r="J6" s="102"/>
    </row>
    <row r="7" spans="1:10" ht="15.75">
      <c r="A7" s="95" t="s">
        <v>127</v>
      </c>
      <c r="B7" s="96">
        <v>1.9</v>
      </c>
      <c r="C7" s="105" t="s">
        <v>129</v>
      </c>
      <c r="E7" s="106" t="s">
        <v>134</v>
      </c>
      <c r="F7" s="102"/>
      <c r="G7" s="107"/>
      <c r="H7" s="103"/>
      <c r="J7" s="102"/>
    </row>
    <row r="8" spans="1:10" ht="15.75">
      <c r="A8" s="95" t="s">
        <v>128</v>
      </c>
      <c r="B8" s="96">
        <v>1.6</v>
      </c>
      <c r="C8" s="97"/>
      <c r="E8" s="101"/>
      <c r="F8" s="102"/>
      <c r="G8" s="107"/>
      <c r="H8" s="103"/>
      <c r="J8" s="102"/>
    </row>
    <row r="9" spans="1:10" ht="15.75">
      <c r="A9" s="95" t="s">
        <v>118</v>
      </c>
      <c r="B9" s="96">
        <v>17.6</v>
      </c>
      <c r="C9" s="97"/>
      <c r="E9" s="101"/>
      <c r="F9" s="102"/>
      <c r="G9" s="107"/>
      <c r="H9" s="103"/>
      <c r="J9" s="102"/>
    </row>
    <row r="10" spans="1:10" ht="15.75">
      <c r="A10" s="95" t="s">
        <v>119</v>
      </c>
      <c r="B10" s="96">
        <v>3.5</v>
      </c>
      <c r="C10" s="97"/>
      <c r="E10" s="101"/>
      <c r="F10" s="102"/>
      <c r="G10" s="107"/>
      <c r="H10" s="103"/>
      <c r="J10" s="102"/>
    </row>
    <row r="11" spans="1:10" ht="15.75">
      <c r="A11" s="95" t="s">
        <v>120</v>
      </c>
      <c r="B11" s="108">
        <f>B4^3*B5/12</f>
        <v>0.04100625000000001</v>
      </c>
      <c r="C11" s="97"/>
      <c r="E11" s="101"/>
      <c r="F11" s="102"/>
      <c r="G11" s="107"/>
      <c r="H11" s="103"/>
      <c r="J11" s="102"/>
    </row>
    <row r="12" spans="1:10" ht="16.5" thickBot="1">
      <c r="A12" s="95" t="s">
        <v>121</v>
      </c>
      <c r="B12" s="108">
        <f>B6^3/12*B5</f>
        <v>2.2500949500000003</v>
      </c>
      <c r="C12" s="97"/>
      <c r="E12" s="109"/>
      <c r="F12" s="110"/>
      <c r="G12" s="107"/>
      <c r="H12" s="111"/>
      <c r="J12" s="102"/>
    </row>
    <row r="13" spans="1:7" ht="15.75">
      <c r="A13" s="95" t="s">
        <v>122</v>
      </c>
      <c r="B13" s="108">
        <f>B7^3/12*B5</f>
        <v>0.11431666666666665</v>
      </c>
      <c r="G13" s="102"/>
    </row>
    <row r="14" spans="1:8" ht="18.75">
      <c r="A14" s="95" t="s">
        <v>144</v>
      </c>
      <c r="B14" s="108">
        <f>B6/2</f>
        <v>2.565</v>
      </c>
      <c r="E14" s="316" t="s">
        <v>130</v>
      </c>
      <c r="F14" s="316"/>
      <c r="G14" s="112" t="s">
        <v>132</v>
      </c>
      <c r="H14" s="112" t="s">
        <v>131</v>
      </c>
    </row>
    <row r="15" spans="1:2" ht="18.75">
      <c r="A15" s="95" t="s">
        <v>145</v>
      </c>
      <c r="B15" s="108">
        <f>B7/2+B6+B8</f>
        <v>7.68</v>
      </c>
    </row>
    <row r="16" spans="1:5" ht="18.75">
      <c r="A16" s="113" t="s">
        <v>146</v>
      </c>
      <c r="B16" s="108">
        <f>B5*B6</f>
        <v>1.026</v>
      </c>
      <c r="D16" s="95" t="s">
        <v>138</v>
      </c>
      <c r="E16" s="108">
        <f>B21/(1/B16+1/B17)</f>
        <v>1.4183756756756756</v>
      </c>
    </row>
    <row r="17" spans="1:5" ht="15.75">
      <c r="A17" s="113" t="s">
        <v>147</v>
      </c>
      <c r="B17" s="108">
        <f>B5*B7</f>
        <v>0.38</v>
      </c>
      <c r="D17" s="95" t="s">
        <v>139</v>
      </c>
      <c r="E17" s="108">
        <f>B12+B13+E16*B21</f>
        <v>9.619403197747747</v>
      </c>
    </row>
    <row r="18" spans="1:8" ht="20.25">
      <c r="A18" s="95" t="s">
        <v>148</v>
      </c>
      <c r="B18" s="108">
        <f>(B14*B16+B15*B17)/(B16+B17)</f>
        <v>3.947432432432432</v>
      </c>
      <c r="D18" s="113" t="s">
        <v>149</v>
      </c>
      <c r="E18" s="108">
        <f>3*B11/(B8/2)^3*B21/2*E17/(B12+B13)/E16/B10</f>
        <v>0.5035965152927617</v>
      </c>
      <c r="H18" s="95" t="s">
        <v>180</v>
      </c>
    </row>
    <row r="19" spans="1:5" ht="15.75">
      <c r="A19" s="95" t="s">
        <v>124</v>
      </c>
      <c r="B19" s="108">
        <f>(B14-B18)*B16</f>
        <v>-1.4183756756756754</v>
      </c>
      <c r="D19" s="113" t="s">
        <v>150</v>
      </c>
      <c r="E19" s="108">
        <f>SQRT(E18)*B9</f>
        <v>12.489758067195934</v>
      </c>
    </row>
    <row r="20" spans="1:9" ht="15.75">
      <c r="A20" s="95" t="s">
        <v>125</v>
      </c>
      <c r="B20" s="108">
        <f>(B15-B18)*B17</f>
        <v>1.4183756756756758</v>
      </c>
      <c r="D20" s="113" t="s">
        <v>151</v>
      </c>
      <c r="E20" s="114">
        <f>0.5+(1-1/COSH(E19))/E19^2-TANH(E19)/E19</f>
        <v>0.42634485025268304</v>
      </c>
      <c r="H20" s="115" t="s">
        <v>143</v>
      </c>
      <c r="I20" s="116">
        <f>E17/E21</f>
        <v>9.01461413737382</v>
      </c>
    </row>
    <row r="21" spans="1:5" ht="15.75">
      <c r="A21" s="95" t="s">
        <v>137</v>
      </c>
      <c r="B21" s="108">
        <f>B15-B14</f>
        <v>5.115</v>
      </c>
      <c r="D21" s="95" t="s">
        <v>142</v>
      </c>
      <c r="E21" s="108">
        <f>1+8*E20*B21*E16/E19^2/(B12+B13)</f>
        <v>1.0670898444633945</v>
      </c>
    </row>
    <row r="65536" ht="15.75">
      <c r="A65536" s="113"/>
    </row>
  </sheetData>
  <mergeCells count="2">
    <mergeCell ref="E14:F14"/>
    <mergeCell ref="J4:J5"/>
  </mergeCells>
  <printOptions horizontalCentered="1" verticalCentered="1"/>
  <pageMargins left="0.5905511811023623" right="0.5905511811023623" top="0.1968503937007874" bottom="0.3937007874015748" header="0.1968503937007874" footer="0.1968503937007874"/>
  <pageSetup horizontalDpi="300" verticalDpi="300" orientation="portrait" paperSize="9" r:id="rId2"/>
  <headerFooter alignWithMargins="0">
    <oddFooter>&amp;L&amp;"Times New Roman,Normal"&amp;8&amp;T   &amp;D&amp;C&amp;"Times New Roman,Normal"&amp;8&amp;F   (&amp;A)&amp;R&amp;"Times New Roman,Normal"&amp;8Page&amp;P/&amp;N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211"/>
  <dimension ref="A1:M31"/>
  <sheetViews>
    <sheetView workbookViewId="0" topLeftCell="A2">
      <selection activeCell="C15" sqref="C15"/>
    </sheetView>
  </sheetViews>
  <sheetFormatPr defaultColWidth="11.421875" defaultRowHeight="12.75"/>
  <cols>
    <col min="1" max="1" width="11.140625" style="3" bestFit="1" customWidth="1"/>
    <col min="2" max="3" width="8.7109375" style="3" customWidth="1"/>
    <col min="4" max="4" width="10.421875" style="3" bestFit="1" customWidth="1"/>
    <col min="5" max="5" width="9.57421875" style="3" customWidth="1"/>
    <col min="6" max="16" width="8.7109375" style="3" customWidth="1"/>
    <col min="17" max="16384" width="11.421875" style="3" customWidth="1"/>
  </cols>
  <sheetData>
    <row r="1" ht="15.75">
      <c r="A1" s="117" t="s">
        <v>178</v>
      </c>
    </row>
    <row r="2" ht="13.5" thickBot="1">
      <c r="I2" s="46"/>
    </row>
    <row r="3" spans="1:13" ht="15.75">
      <c r="A3" s="185" t="s">
        <v>385</v>
      </c>
      <c r="B3" s="32" t="s">
        <v>386</v>
      </c>
      <c r="C3" s="46"/>
      <c r="E3" s="39"/>
      <c r="F3" s="318" t="s">
        <v>157</v>
      </c>
      <c r="G3" s="61"/>
      <c r="H3" s="318" t="s">
        <v>170</v>
      </c>
      <c r="I3" s="61"/>
      <c r="J3" s="318" t="s">
        <v>158</v>
      </c>
      <c r="K3" s="40"/>
      <c r="M3" s="118"/>
    </row>
    <row r="4" spans="3:13" ht="13.5" thickBot="1">
      <c r="C4" s="46"/>
      <c r="E4" s="48"/>
      <c r="F4" s="319"/>
      <c r="G4" s="46"/>
      <c r="H4" s="319"/>
      <c r="I4" s="46"/>
      <c r="J4" s="319"/>
      <c r="K4" s="50"/>
      <c r="M4" s="118"/>
    </row>
    <row r="5" spans="3:13" ht="12.75">
      <c r="C5" s="46"/>
      <c r="E5" s="48"/>
      <c r="F5" s="91"/>
      <c r="G5" s="46"/>
      <c r="H5" s="91"/>
      <c r="I5" s="46"/>
      <c r="J5" s="91"/>
      <c r="K5" s="50"/>
      <c r="M5" s="46"/>
    </row>
    <row r="6" spans="3:13" ht="12.75">
      <c r="C6" s="119"/>
      <c r="E6" s="67"/>
      <c r="F6" s="92"/>
      <c r="G6" s="65"/>
      <c r="H6" s="92"/>
      <c r="I6" s="46"/>
      <c r="J6" s="92"/>
      <c r="K6" s="50"/>
      <c r="M6" s="46"/>
    </row>
    <row r="7" spans="3:13" ht="12.75">
      <c r="C7" s="46"/>
      <c r="E7" s="48"/>
      <c r="F7" s="92"/>
      <c r="G7" s="46"/>
      <c r="H7" s="92"/>
      <c r="I7" s="46"/>
      <c r="J7" s="92"/>
      <c r="K7" s="50"/>
      <c r="M7" s="46"/>
    </row>
    <row r="8" spans="1:13" ht="12.75">
      <c r="A8" s="3" t="s">
        <v>135</v>
      </c>
      <c r="B8" s="93">
        <v>0.18</v>
      </c>
      <c r="C8" s="46" t="s">
        <v>9</v>
      </c>
      <c r="E8" s="48"/>
      <c r="F8" s="92"/>
      <c r="G8" s="46"/>
      <c r="H8" s="92"/>
      <c r="I8" s="46"/>
      <c r="J8" s="92"/>
      <c r="K8" s="50"/>
      <c r="M8" s="46"/>
    </row>
    <row r="9" spans="1:13" ht="12.75">
      <c r="A9" s="3" t="s">
        <v>118</v>
      </c>
      <c r="B9" s="93">
        <v>32.85</v>
      </c>
      <c r="C9" s="46" t="s">
        <v>9</v>
      </c>
      <c r="E9" s="48"/>
      <c r="F9" s="92"/>
      <c r="G9" s="46"/>
      <c r="H9" s="92"/>
      <c r="I9" s="46"/>
      <c r="J9" s="92"/>
      <c r="K9" s="50"/>
      <c r="M9" s="46"/>
    </row>
    <row r="10" spans="1:13" ht="13.5" thickBot="1">
      <c r="A10" s="3" t="s">
        <v>119</v>
      </c>
      <c r="B10" s="93">
        <v>3.65</v>
      </c>
      <c r="C10" s="46" t="s">
        <v>9</v>
      </c>
      <c r="E10" s="41"/>
      <c r="F10" s="92"/>
      <c r="G10" s="55"/>
      <c r="H10" s="92"/>
      <c r="I10" s="55"/>
      <c r="J10" s="92"/>
      <c r="K10" s="42"/>
      <c r="M10" s="46"/>
    </row>
    <row r="11" spans="5:11" ht="12.75">
      <c r="E11" s="4" t="s">
        <v>130</v>
      </c>
      <c r="F11" s="4" t="s">
        <v>155</v>
      </c>
      <c r="G11" s="4" t="s">
        <v>131</v>
      </c>
      <c r="H11" s="4" t="s">
        <v>156</v>
      </c>
      <c r="I11" s="4" t="s">
        <v>152</v>
      </c>
      <c r="J11" s="4" t="s">
        <v>153</v>
      </c>
      <c r="K11" s="4" t="s">
        <v>154</v>
      </c>
    </row>
    <row r="13" spans="1:11" ht="12.75">
      <c r="A13" s="3" t="s">
        <v>164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</row>
    <row r="14" spans="1:11" ht="12.75">
      <c r="A14" s="3" t="s">
        <v>159</v>
      </c>
      <c r="B14" s="93">
        <v>0.72</v>
      </c>
      <c r="C14" s="90">
        <v>0.72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</row>
    <row r="15" spans="1:11" ht="12.75">
      <c r="A15" s="3" t="s">
        <v>160</v>
      </c>
      <c r="B15" s="93">
        <v>1.35</v>
      </c>
      <c r="C15" s="90">
        <v>1.35</v>
      </c>
      <c r="D15" s="90">
        <v>1.35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</row>
    <row r="16" spans="1:11" ht="12.75">
      <c r="A16" s="3" t="s">
        <v>161</v>
      </c>
      <c r="B16" s="93">
        <v>1.35</v>
      </c>
      <c r="C16" s="90">
        <v>1.35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</row>
    <row r="17" spans="1:11" ht="12.75">
      <c r="A17" s="3" t="s">
        <v>162</v>
      </c>
      <c r="B17" s="94">
        <f aca="true" t="shared" si="0" ref="B17:J17">B14^3*$B$8/12</f>
        <v>0.005598719999999999</v>
      </c>
      <c r="C17" s="94">
        <f t="shared" si="0"/>
        <v>0.005598719999999999</v>
      </c>
      <c r="D17" s="94">
        <f t="shared" si="0"/>
        <v>0</v>
      </c>
      <c r="E17" s="94">
        <f t="shared" si="0"/>
        <v>0</v>
      </c>
      <c r="F17" s="94">
        <f t="shared" si="0"/>
        <v>0</v>
      </c>
      <c r="G17" s="94">
        <f t="shared" si="0"/>
        <v>0</v>
      </c>
      <c r="H17" s="94">
        <f t="shared" si="0"/>
        <v>0</v>
      </c>
      <c r="I17" s="94">
        <f t="shared" si="0"/>
        <v>0</v>
      </c>
      <c r="J17" s="94">
        <f t="shared" si="0"/>
        <v>0</v>
      </c>
      <c r="K17" s="120">
        <v>0</v>
      </c>
    </row>
    <row r="18" spans="1:11" ht="12.75">
      <c r="A18" s="3" t="s">
        <v>163</v>
      </c>
      <c r="B18" s="94">
        <f aca="true" t="shared" si="1" ref="B18:K18">B15^3/12*$B$8</f>
        <v>0.036905625000000004</v>
      </c>
      <c r="C18" s="94">
        <f t="shared" si="1"/>
        <v>0.036905625000000004</v>
      </c>
      <c r="D18" s="94">
        <f t="shared" si="1"/>
        <v>0.036905625000000004</v>
      </c>
      <c r="E18" s="94">
        <f t="shared" si="1"/>
        <v>0</v>
      </c>
      <c r="F18" s="94">
        <f t="shared" si="1"/>
        <v>0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</row>
    <row r="19" spans="1:11" ht="12.75">
      <c r="A19" s="19" t="s">
        <v>171</v>
      </c>
      <c r="B19" s="94">
        <f>B15</f>
        <v>1.35</v>
      </c>
      <c r="C19" s="94">
        <f aca="true" t="shared" si="2" ref="C19:K19">C15+B19+B16</f>
        <v>4.050000000000001</v>
      </c>
      <c r="D19" s="94">
        <f t="shared" si="2"/>
        <v>6.75</v>
      </c>
      <c r="E19" s="94">
        <f t="shared" si="2"/>
        <v>6.75</v>
      </c>
      <c r="F19" s="94">
        <f t="shared" si="2"/>
        <v>6.75</v>
      </c>
      <c r="G19" s="94">
        <f t="shared" si="2"/>
        <v>6.75</v>
      </c>
      <c r="H19" s="94">
        <f t="shared" si="2"/>
        <v>6.75</v>
      </c>
      <c r="I19" s="94">
        <f t="shared" si="2"/>
        <v>6.75</v>
      </c>
      <c r="J19" s="94">
        <f t="shared" si="2"/>
        <v>6.75</v>
      </c>
      <c r="K19" s="94">
        <f t="shared" si="2"/>
        <v>6.75</v>
      </c>
    </row>
    <row r="20" spans="1:11" ht="14.25">
      <c r="A20" s="3" t="s">
        <v>172</v>
      </c>
      <c r="B20" s="94">
        <f>B19-B15/2</f>
        <v>0.675</v>
      </c>
      <c r="C20" s="94">
        <f aca="true" t="shared" si="3" ref="C20:K20">IF(B16=0,0,C19-C15/2)</f>
        <v>3.375000000000001</v>
      </c>
      <c r="D20" s="94">
        <f t="shared" si="3"/>
        <v>6.075</v>
      </c>
      <c r="E20" s="94">
        <f t="shared" si="3"/>
        <v>0</v>
      </c>
      <c r="F20" s="94">
        <f t="shared" si="3"/>
        <v>0</v>
      </c>
      <c r="G20" s="94">
        <f t="shared" si="3"/>
        <v>0</v>
      </c>
      <c r="H20" s="94">
        <f t="shared" si="3"/>
        <v>0</v>
      </c>
      <c r="I20" s="94">
        <f t="shared" si="3"/>
        <v>0</v>
      </c>
      <c r="J20" s="94">
        <f t="shared" si="3"/>
        <v>0</v>
      </c>
      <c r="K20" s="94">
        <f t="shared" si="3"/>
        <v>0</v>
      </c>
    </row>
    <row r="21" spans="1:11" ht="14.25">
      <c r="A21" s="19" t="s">
        <v>173</v>
      </c>
      <c r="B21" s="3">
        <f aca="true" t="shared" si="4" ref="B21:K21">$B$8*B15</f>
        <v>0.243</v>
      </c>
      <c r="C21" s="3">
        <f t="shared" si="4"/>
        <v>0.243</v>
      </c>
      <c r="D21" s="3">
        <f t="shared" si="4"/>
        <v>0.243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  <c r="J21" s="3">
        <f t="shared" si="4"/>
        <v>0</v>
      </c>
      <c r="K21" s="3">
        <f t="shared" si="4"/>
        <v>0</v>
      </c>
    </row>
    <row r="22" spans="1:12" ht="14.25">
      <c r="A22" s="3" t="s">
        <v>174</v>
      </c>
      <c r="B22" s="94">
        <f aca="true" t="shared" si="5" ref="B22:K22">B21*B20</f>
        <v>0.164025</v>
      </c>
      <c r="C22" s="94">
        <f t="shared" si="5"/>
        <v>0.8201250000000002</v>
      </c>
      <c r="D22" s="94">
        <f t="shared" si="5"/>
        <v>1.476225</v>
      </c>
      <c r="E22" s="94">
        <f t="shared" si="5"/>
        <v>0</v>
      </c>
      <c r="F22" s="94">
        <f t="shared" si="5"/>
        <v>0</v>
      </c>
      <c r="G22" s="94">
        <f t="shared" si="5"/>
        <v>0</v>
      </c>
      <c r="H22" s="94">
        <f t="shared" si="5"/>
        <v>0</v>
      </c>
      <c r="I22" s="94">
        <f t="shared" si="5"/>
        <v>0</v>
      </c>
      <c r="J22" s="94">
        <f t="shared" si="5"/>
        <v>0</v>
      </c>
      <c r="K22" s="94">
        <f t="shared" si="5"/>
        <v>0</v>
      </c>
      <c r="L22" s="94"/>
    </row>
    <row r="23" spans="1:11" ht="12.75">
      <c r="A23" s="3" t="s">
        <v>165</v>
      </c>
      <c r="B23" s="3">
        <f>B15/2+C15/2+B16</f>
        <v>2.7</v>
      </c>
      <c r="C23" s="3">
        <f aca="true" t="shared" si="6" ref="C23:K23">IF(C16=0,0,C15/2+D15/2+C16)</f>
        <v>2.7</v>
      </c>
      <c r="D23" s="3">
        <f t="shared" si="6"/>
        <v>0</v>
      </c>
      <c r="E23" s="3">
        <f t="shared" si="6"/>
        <v>0</v>
      </c>
      <c r="F23" s="3">
        <f t="shared" si="6"/>
        <v>0</v>
      </c>
      <c r="G23" s="3">
        <f t="shared" si="6"/>
        <v>0</v>
      </c>
      <c r="H23" s="3">
        <f t="shared" si="6"/>
        <v>0</v>
      </c>
      <c r="I23" s="3">
        <f t="shared" si="6"/>
        <v>0</v>
      </c>
      <c r="J23" s="3">
        <f t="shared" si="6"/>
        <v>0</v>
      </c>
      <c r="K23" s="3">
        <f t="shared" si="6"/>
        <v>0</v>
      </c>
    </row>
    <row r="24" spans="1:11" ht="12.75">
      <c r="A24" s="19" t="s">
        <v>175</v>
      </c>
      <c r="B24" s="3">
        <f>IF(B15=0,0,B23)</f>
        <v>2.7</v>
      </c>
      <c r="C24" s="3">
        <f aca="true" t="shared" si="7" ref="C24:K24">IF(C15=0,0,C23+B24)</f>
        <v>5.4</v>
      </c>
      <c r="D24" s="3">
        <f t="shared" si="7"/>
        <v>5.4</v>
      </c>
      <c r="E24" s="3">
        <f t="shared" si="7"/>
        <v>0</v>
      </c>
      <c r="F24" s="3">
        <f t="shared" si="7"/>
        <v>0</v>
      </c>
      <c r="G24" s="3">
        <f t="shared" si="7"/>
        <v>0</v>
      </c>
      <c r="H24" s="3">
        <f t="shared" si="7"/>
        <v>0</v>
      </c>
      <c r="I24" s="3">
        <f t="shared" si="7"/>
        <v>0</v>
      </c>
      <c r="J24" s="3">
        <f t="shared" si="7"/>
        <v>0</v>
      </c>
      <c r="K24" s="3">
        <f t="shared" si="7"/>
        <v>0</v>
      </c>
    </row>
    <row r="25" spans="1:11" ht="12.75">
      <c r="A25" s="3" t="s">
        <v>168</v>
      </c>
      <c r="B25" s="3">
        <f>IF(B15=0,0,B21*E29)</f>
        <v>0.6561</v>
      </c>
      <c r="C25" s="3">
        <f aca="true" t="shared" si="8" ref="C25:K25">IF(C15=0,0,B25+C21*($E$29-B24))</f>
        <v>0.6561</v>
      </c>
      <c r="D25" s="3">
        <f t="shared" si="8"/>
        <v>0</v>
      </c>
      <c r="E25" s="3">
        <f t="shared" si="8"/>
        <v>0</v>
      </c>
      <c r="F25" s="3">
        <f t="shared" si="8"/>
        <v>0</v>
      </c>
      <c r="G25" s="3">
        <f t="shared" si="8"/>
        <v>0</v>
      </c>
      <c r="H25" s="3">
        <f t="shared" si="8"/>
        <v>0</v>
      </c>
      <c r="I25" s="3">
        <f t="shared" si="8"/>
        <v>0</v>
      </c>
      <c r="J25" s="3">
        <f t="shared" si="8"/>
        <v>0</v>
      </c>
      <c r="K25" s="3">
        <f t="shared" si="8"/>
        <v>0</v>
      </c>
    </row>
    <row r="26" spans="1:11" ht="12.75">
      <c r="A26" s="19" t="s">
        <v>176</v>
      </c>
      <c r="B26" s="3">
        <f>B25*B23</f>
        <v>1.77147</v>
      </c>
      <c r="C26" s="3">
        <f aca="true" t="shared" si="9" ref="C26:K26">C25*C23+B26</f>
        <v>3.54294</v>
      </c>
      <c r="D26" s="3">
        <f t="shared" si="9"/>
        <v>3.54294</v>
      </c>
      <c r="E26" s="3">
        <f t="shared" si="9"/>
        <v>3.54294</v>
      </c>
      <c r="F26" s="3">
        <f t="shared" si="9"/>
        <v>3.54294</v>
      </c>
      <c r="G26" s="3">
        <f t="shared" si="9"/>
        <v>3.54294</v>
      </c>
      <c r="H26" s="3">
        <f t="shared" si="9"/>
        <v>3.54294</v>
      </c>
      <c r="I26" s="3">
        <f t="shared" si="9"/>
        <v>3.54294</v>
      </c>
      <c r="J26" s="3">
        <f t="shared" si="9"/>
        <v>3.54294</v>
      </c>
      <c r="K26" s="3">
        <f t="shared" si="9"/>
        <v>3.54294</v>
      </c>
    </row>
    <row r="27" spans="1:11" ht="12.75">
      <c r="A27" s="3" t="s">
        <v>169</v>
      </c>
      <c r="B27" s="3">
        <f aca="true" t="shared" si="10" ref="B27:K27">IF(B16=0,0,B17*(B23/2)^2/(B16/2)^3)</f>
        <v>0.03317759999999999</v>
      </c>
      <c r="C27" s="3">
        <f t="shared" si="10"/>
        <v>0.03317759999999999</v>
      </c>
      <c r="D27" s="3">
        <f t="shared" si="10"/>
        <v>0</v>
      </c>
      <c r="E27" s="3">
        <f t="shared" si="10"/>
        <v>0</v>
      </c>
      <c r="F27" s="3">
        <f t="shared" si="10"/>
        <v>0</v>
      </c>
      <c r="G27" s="3">
        <f t="shared" si="10"/>
        <v>0</v>
      </c>
      <c r="H27" s="3">
        <f t="shared" si="10"/>
        <v>0</v>
      </c>
      <c r="I27" s="3">
        <f t="shared" si="10"/>
        <v>0</v>
      </c>
      <c r="J27" s="3">
        <f t="shared" si="10"/>
        <v>0</v>
      </c>
      <c r="K27" s="3">
        <f t="shared" si="10"/>
        <v>0</v>
      </c>
    </row>
    <row r="28" spans="1:11" ht="16.5">
      <c r="A28" s="3" t="s">
        <v>166</v>
      </c>
      <c r="B28" s="94">
        <f>SUM(B18:K18)</f>
        <v>0.11071687500000002</v>
      </c>
      <c r="D28" s="3" t="s">
        <v>123</v>
      </c>
      <c r="E28" s="3">
        <f>SUM(B22:K22)/B29</f>
        <v>3.375</v>
      </c>
      <c r="G28" s="3" t="s">
        <v>139</v>
      </c>
      <c r="H28" s="94">
        <f>B28+K26</f>
        <v>3.6536568750000002</v>
      </c>
      <c r="J28" s="19" t="s">
        <v>140</v>
      </c>
      <c r="K28" s="94">
        <f>6*H29/B10/B28</f>
        <v>0.9851889433827532</v>
      </c>
    </row>
    <row r="29" spans="1:11" ht="14.25">
      <c r="A29" s="19" t="s">
        <v>177</v>
      </c>
      <c r="B29" s="3">
        <f>SUM(B21:K21)</f>
        <v>0.729</v>
      </c>
      <c r="D29" s="3" t="s">
        <v>167</v>
      </c>
      <c r="E29" s="94">
        <f>(-B20+$E$28)</f>
        <v>2.7</v>
      </c>
      <c r="G29" s="3" t="s">
        <v>142</v>
      </c>
      <c r="H29" s="94">
        <f>SUM(B27:K27)</f>
        <v>0.06635519999999998</v>
      </c>
      <c r="J29" s="19" t="s">
        <v>53</v>
      </c>
      <c r="K29" s="94">
        <f>SQRT(K28)*B9</f>
        <v>32.60582088455304</v>
      </c>
    </row>
    <row r="30" spans="1:2" ht="12.75">
      <c r="A30" s="19" t="s">
        <v>141</v>
      </c>
      <c r="B30" s="120">
        <f>0.5+(1-1/COSH(K29))/K29^2-TANH(K29)/K29</f>
        <v>0.4702712398204043</v>
      </c>
    </row>
    <row r="31" spans="4:5" ht="12.75">
      <c r="D31" s="121" t="s">
        <v>143</v>
      </c>
      <c r="E31" s="122">
        <f>H28/(1+8*B30*H28/B28/K29^2)</f>
        <v>3.271604529470743</v>
      </c>
    </row>
  </sheetData>
  <mergeCells count="3">
    <mergeCell ref="F3:F4"/>
    <mergeCell ref="J3:J4"/>
    <mergeCell ref="H3:H4"/>
  </mergeCells>
  <printOptions horizontalCentered="1" verticalCentered="1"/>
  <pageMargins left="0.5905511811023623" right="0.5905511811023623" top="0.1968503937007874" bottom="0.3937007874015748" header="0.1968503937007874" footer="0.1968503937007874"/>
  <pageSetup horizontalDpi="300" verticalDpi="300" orientation="landscape" paperSize="9" r:id="rId4"/>
  <headerFooter alignWithMargins="0">
    <oddFooter>&amp;L&amp;"Times New Roman,Normal"&amp;8&amp;T   &amp;D&amp;C&amp;"Times New Roman,Normal"&amp;8&amp;F   (&amp;A)&amp;R&amp;"Times New Roman,Normal"&amp;8Page&amp;P/&amp;N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"/>
  <dimension ref="A1:O114"/>
  <sheetViews>
    <sheetView zoomScale="90" zoomScaleNormal="90" workbookViewId="0" topLeftCell="A1">
      <selection activeCell="B13" sqref="B13"/>
    </sheetView>
  </sheetViews>
  <sheetFormatPr defaultColWidth="11.421875" defaultRowHeight="12.75"/>
  <cols>
    <col min="1" max="1" width="31.28125" style="0" customWidth="1"/>
    <col min="2" max="2" width="9.7109375" style="170" customWidth="1"/>
    <col min="3" max="4" width="8.140625" style="170" bestFit="1" customWidth="1"/>
    <col min="5" max="5" width="8.140625" style="0" bestFit="1" customWidth="1"/>
    <col min="6" max="6" width="5.00390625" style="0" customWidth="1"/>
    <col min="10" max="10" width="8.7109375" style="0" customWidth="1"/>
    <col min="11" max="11" width="6.421875" style="0" customWidth="1"/>
    <col min="12" max="12" width="5.7109375" style="0" customWidth="1"/>
  </cols>
  <sheetData>
    <row r="1" spans="1:13" ht="18" customHeight="1">
      <c r="A1" s="173"/>
      <c r="B1" s="163"/>
      <c r="C1" s="163"/>
      <c r="D1" s="321" t="s">
        <v>206</v>
      </c>
      <c r="E1" s="321"/>
      <c r="F1" s="321"/>
      <c r="G1" s="321"/>
      <c r="H1" s="178"/>
      <c r="I1" s="178"/>
      <c r="J1" s="178"/>
      <c r="K1" s="178"/>
      <c r="L1" s="178"/>
      <c r="M1" s="164"/>
    </row>
    <row r="2" spans="1:13" ht="15.75">
      <c r="A2" s="136" t="s">
        <v>334</v>
      </c>
      <c r="B2" s="193">
        <v>30</v>
      </c>
      <c r="C2" s="166"/>
      <c r="D2" s="322"/>
      <c r="E2" s="322"/>
      <c r="F2" s="322"/>
      <c r="G2" s="322"/>
      <c r="H2" s="212"/>
      <c r="I2" s="212"/>
      <c r="J2" s="212"/>
      <c r="K2" s="212"/>
      <c r="L2" s="212"/>
      <c r="M2" s="167"/>
    </row>
    <row r="3" spans="1:13" ht="17.25" customHeight="1" hidden="1">
      <c r="A3" s="136" t="s">
        <v>335</v>
      </c>
      <c r="B3" s="171">
        <f>B2*3.14159/180</f>
        <v>0.5235983333333333</v>
      </c>
      <c r="C3" s="166"/>
      <c r="D3" s="166"/>
      <c r="E3" s="167"/>
      <c r="F3" s="212"/>
      <c r="G3" s="212"/>
      <c r="H3" s="212"/>
      <c r="I3" s="212"/>
      <c r="J3" s="212"/>
      <c r="K3" s="212"/>
      <c r="L3" s="212"/>
      <c r="M3" s="167"/>
    </row>
    <row r="4" spans="1:13" ht="12.75">
      <c r="A4" s="136" t="s">
        <v>250</v>
      </c>
      <c r="B4" s="193">
        <v>20</v>
      </c>
      <c r="C4" s="320" t="s">
        <v>263</v>
      </c>
      <c r="D4" s="320"/>
      <c r="E4" s="242">
        <f>B2-MAX(B16*180/3.1416,D16*180/3.1416)</f>
        <v>21.073612947036544</v>
      </c>
      <c r="F4" s="212"/>
      <c r="G4" s="212"/>
      <c r="H4" s="212"/>
      <c r="I4" s="212"/>
      <c r="J4" s="212"/>
      <c r="K4" s="212"/>
      <c r="L4" s="212"/>
      <c r="M4" s="167"/>
    </row>
    <row r="5" spans="1:13" ht="12.75" customHeight="1" hidden="1">
      <c r="A5" s="136" t="s">
        <v>251</v>
      </c>
      <c r="B5" s="171">
        <f>B4*3.141593/180</f>
        <v>0.3490658888888889</v>
      </c>
      <c r="C5" s="166"/>
      <c r="D5" s="166"/>
      <c r="E5" s="212"/>
      <c r="F5" s="212"/>
      <c r="G5" s="212"/>
      <c r="H5" s="212"/>
      <c r="I5" s="212"/>
      <c r="J5" s="212"/>
      <c r="K5" s="212"/>
      <c r="L5" s="212"/>
      <c r="M5" s="167"/>
    </row>
    <row r="6" spans="1:13" ht="12.75">
      <c r="A6" s="136" t="s">
        <v>254</v>
      </c>
      <c r="B6" s="193">
        <v>0</v>
      </c>
      <c r="C6" s="166"/>
      <c r="D6" s="166"/>
      <c r="E6" s="212"/>
      <c r="F6" s="212"/>
      <c r="G6" s="212"/>
      <c r="H6" s="212"/>
      <c r="I6" s="212"/>
      <c r="J6" s="212"/>
      <c r="K6" s="212"/>
      <c r="L6" s="212"/>
      <c r="M6" s="167"/>
    </row>
    <row r="7" spans="1:13" ht="12.75" hidden="1">
      <c r="A7" s="136" t="s">
        <v>255</v>
      </c>
      <c r="B7" s="171">
        <f>B6*3.141593/180</f>
        <v>0</v>
      </c>
      <c r="C7" s="166"/>
      <c r="D7" s="166"/>
      <c r="E7" s="212"/>
      <c r="F7" s="212"/>
      <c r="G7" s="212"/>
      <c r="H7" s="212"/>
      <c r="I7" s="212"/>
      <c r="J7" s="212"/>
      <c r="K7" s="212"/>
      <c r="L7" s="212"/>
      <c r="M7" s="167"/>
    </row>
    <row r="8" spans="1:13" ht="12.75">
      <c r="A8" s="136" t="s">
        <v>256</v>
      </c>
      <c r="B8" s="193">
        <v>0</v>
      </c>
      <c r="C8" s="166"/>
      <c r="D8" s="166"/>
      <c r="E8" s="212"/>
      <c r="F8" s="212"/>
      <c r="G8" s="212"/>
      <c r="H8" s="212"/>
      <c r="I8" s="212"/>
      <c r="J8" s="212"/>
      <c r="K8" s="212"/>
      <c r="L8" s="212"/>
      <c r="M8" s="167"/>
    </row>
    <row r="9" spans="1:13" ht="12.75" customHeight="1" hidden="1">
      <c r="A9" s="136" t="s">
        <v>257</v>
      </c>
      <c r="B9" s="171">
        <f>B8*3.141593/180</f>
        <v>0</v>
      </c>
      <c r="C9" s="166"/>
      <c r="D9" s="166"/>
      <c r="E9" s="212"/>
      <c r="F9" s="212"/>
      <c r="G9" s="212"/>
      <c r="H9" s="212"/>
      <c r="I9" s="212"/>
      <c r="J9" s="212"/>
      <c r="K9" s="212"/>
      <c r="L9" s="212"/>
      <c r="M9" s="167"/>
    </row>
    <row r="10" spans="1:13" ht="15.75">
      <c r="A10" s="136" t="s">
        <v>264</v>
      </c>
      <c r="B10" s="168">
        <v>1.8</v>
      </c>
      <c r="C10" s="166"/>
      <c r="D10" s="166"/>
      <c r="E10" s="212"/>
      <c r="F10" s="212"/>
      <c r="G10" s="212"/>
      <c r="H10" s="212"/>
      <c r="I10" s="212"/>
      <c r="J10" s="212"/>
      <c r="K10" s="212"/>
      <c r="L10" s="212"/>
      <c r="M10" s="167"/>
    </row>
    <row r="11" spans="1:13" ht="15.75">
      <c r="A11" s="136" t="s">
        <v>322</v>
      </c>
      <c r="B11" s="168">
        <v>2.5</v>
      </c>
      <c r="C11" s="166"/>
      <c r="D11" s="166"/>
      <c r="E11" s="212"/>
      <c r="F11" s="212"/>
      <c r="G11" s="212"/>
      <c r="H11" s="212"/>
      <c r="I11" s="212"/>
      <c r="J11" s="212"/>
      <c r="K11" s="212"/>
      <c r="L11" s="212"/>
      <c r="M11" s="167"/>
    </row>
    <row r="12" spans="1:13" ht="15.75">
      <c r="A12" s="165" t="s">
        <v>259</v>
      </c>
      <c r="B12" s="168">
        <v>1.5</v>
      </c>
      <c r="C12" s="166"/>
      <c r="D12" s="222" t="s">
        <v>260</v>
      </c>
      <c r="E12" s="223">
        <f>B13*B12/10*B14</f>
        <v>0.15</v>
      </c>
      <c r="F12" s="212"/>
      <c r="G12" s="212"/>
      <c r="H12" s="212"/>
      <c r="I12" s="212"/>
      <c r="J12" s="212"/>
      <c r="K12" s="212"/>
      <c r="L12" s="212"/>
      <c r="M12" s="167"/>
    </row>
    <row r="13" spans="1:13" ht="12.75">
      <c r="A13" s="165" t="s">
        <v>207</v>
      </c>
      <c r="B13" s="168">
        <v>1</v>
      </c>
      <c r="C13" s="166"/>
      <c r="D13" s="224" t="s">
        <v>261</v>
      </c>
      <c r="E13" s="225">
        <f>0.3*E12</f>
        <v>0.045</v>
      </c>
      <c r="F13" s="212"/>
      <c r="G13" s="212"/>
      <c r="H13" s="212"/>
      <c r="I13" s="212"/>
      <c r="J13" s="212"/>
      <c r="K13" s="212"/>
      <c r="L13" s="212"/>
      <c r="M13" s="167"/>
    </row>
    <row r="14" spans="1:13" ht="15.75">
      <c r="A14" s="194" t="s">
        <v>258</v>
      </c>
      <c r="B14" s="168">
        <v>1</v>
      </c>
      <c r="C14" s="166"/>
      <c r="D14" s="166"/>
      <c r="E14" s="212"/>
      <c r="F14" s="212"/>
      <c r="G14" s="212"/>
      <c r="H14" s="212"/>
      <c r="I14" s="212"/>
      <c r="J14" s="212"/>
      <c r="K14" s="212"/>
      <c r="L14" s="212"/>
      <c r="M14" s="167"/>
    </row>
    <row r="15" spans="1:13" ht="15.75">
      <c r="A15" s="244" t="s">
        <v>348</v>
      </c>
      <c r="B15" s="207" t="s">
        <v>273</v>
      </c>
      <c r="C15" s="169"/>
      <c r="D15" s="207" t="s">
        <v>272</v>
      </c>
      <c r="E15" s="212"/>
      <c r="F15" s="212"/>
      <c r="G15" s="212"/>
      <c r="H15" s="212"/>
      <c r="I15" s="212"/>
      <c r="J15" s="212"/>
      <c r="K15" s="212"/>
      <c r="L15" s="212"/>
      <c r="M15" s="167"/>
    </row>
    <row r="16" spans="1:13" ht="12.75">
      <c r="A16" s="136" t="s">
        <v>262</v>
      </c>
      <c r="B16" s="202">
        <f>ATAN(E12/(1+E13))</f>
        <v>0.14256684686836985</v>
      </c>
      <c r="C16" s="169" t="s">
        <v>208</v>
      </c>
      <c r="D16" s="202">
        <f>ATAN(E12/(1-E13))</f>
        <v>0.1557952086977222</v>
      </c>
      <c r="E16" s="212"/>
      <c r="F16" s="212"/>
      <c r="G16" s="212"/>
      <c r="H16" s="212"/>
      <c r="I16" s="212"/>
      <c r="J16" s="212"/>
      <c r="K16" s="212"/>
      <c r="L16" s="212"/>
      <c r="M16" s="167"/>
    </row>
    <row r="17" spans="1:13" ht="13.5" thickBot="1">
      <c r="A17" s="165" t="s">
        <v>209</v>
      </c>
      <c r="B17" s="202">
        <f>(COS($B$3+B7-B16))^2/(COS(B16))/COS(B9-B7+B16)*(1+SQRT((SIN($B$3+B9)*SIN($B$3-$B$5-B16))/COS(B9+B16-B7)/COS($B$5+B7)))^-2</f>
        <v>0.6874418828641267</v>
      </c>
      <c r="C17" s="169" t="s">
        <v>208</v>
      </c>
      <c r="D17" s="202">
        <f>(COS($B$3+B7-D16))^2/(COS(D16))/COS(B9-B7+D16)*(1+SQRT((SIN($B$3+B9)*SIN($B$3-$B$5-D16))/COS(B9+D16-B7)/COS($B$5+B7)))^-2</f>
        <v>0.736737831564805</v>
      </c>
      <c r="E17" s="212"/>
      <c r="F17" s="212"/>
      <c r="G17" s="212"/>
      <c r="H17" s="212"/>
      <c r="I17" s="212"/>
      <c r="J17" s="212"/>
      <c r="K17" s="212"/>
      <c r="L17" s="212"/>
      <c r="M17" s="167"/>
    </row>
    <row r="18" spans="1:13" ht="15.75">
      <c r="A18" s="197" t="s">
        <v>268</v>
      </c>
      <c r="B18" s="203">
        <f>B17*(1+E13)</f>
        <v>0.7183767675930123</v>
      </c>
      <c r="C18" s="198" t="s">
        <v>208</v>
      </c>
      <c r="D18" s="208">
        <f>D17*(1-E13)</f>
        <v>0.7035846291443887</v>
      </c>
      <c r="E18" s="212"/>
      <c r="F18" s="212"/>
      <c r="G18" s="212"/>
      <c r="H18" s="212"/>
      <c r="I18" s="212"/>
      <c r="J18" s="212"/>
      <c r="K18" s="212"/>
      <c r="L18" s="212"/>
      <c r="M18" s="167"/>
    </row>
    <row r="19" spans="1:13" ht="16.5" thickBot="1">
      <c r="A19" s="199" t="s">
        <v>269</v>
      </c>
      <c r="B19" s="204">
        <f>B18/COS($B$5+$B$7)</f>
        <v>0.7644805990453574</v>
      </c>
      <c r="C19" s="200" t="s">
        <v>208</v>
      </c>
      <c r="D19" s="209">
        <f>D18/COS($B$5+$B$7)</f>
        <v>0.7487391338804201</v>
      </c>
      <c r="E19" s="212"/>
      <c r="F19" s="212"/>
      <c r="G19" s="212"/>
      <c r="H19" s="212"/>
      <c r="I19" s="212"/>
      <c r="J19" s="212"/>
      <c r="K19" s="212"/>
      <c r="L19" s="212"/>
      <c r="M19" s="167"/>
    </row>
    <row r="20" spans="1:13" ht="12.75">
      <c r="A20" s="201" t="s">
        <v>267</v>
      </c>
      <c r="B20" s="202">
        <f>ATAN(E12/(1+E13)*B10/(B10-K27))</f>
        <v>0.31239157639874165</v>
      </c>
      <c r="C20" s="169" t="s">
        <v>208</v>
      </c>
      <c r="D20" s="202">
        <f>ATAN(E12/(1-E13)*B10/(B10-K27))</f>
        <v>0.3397033482754162</v>
      </c>
      <c r="E20" s="212"/>
      <c r="F20" s="212"/>
      <c r="G20" s="212"/>
      <c r="H20" s="212"/>
      <c r="I20" s="212"/>
      <c r="J20" s="212"/>
      <c r="K20" s="212"/>
      <c r="L20" s="212"/>
      <c r="M20" s="167"/>
    </row>
    <row r="21" spans="1:13" ht="12.75">
      <c r="A21" s="165" t="s">
        <v>266</v>
      </c>
      <c r="B21" s="205">
        <f>((COS($B$3+B7-B20))^2/(COS(B16))/COS(B9-B7+B16)*(1+SQRT((SIN($B$3+B9)*SIN($B$3-$B$5-B16))/COS(B9+B16-B7)/COS($B$5+B7)))^-2)</f>
        <v>0.7627068580453317</v>
      </c>
      <c r="C21" s="169" t="s">
        <v>208</v>
      </c>
      <c r="D21" s="205">
        <f>((COS($B$3+B7-D20))^2/(COS(D16))/COS(B9-B7+D16)*(1+SQRT((SIN($B$3+B9)*SIN($B$3-$B$5-D16))/COS(B9+D16-B7)/COS($B$5+B7)))^-2)</f>
        <v>0.8178397143608864</v>
      </c>
      <c r="E21" s="212"/>
      <c r="F21" s="212"/>
      <c r="G21" s="212"/>
      <c r="H21" s="212"/>
      <c r="I21" s="212"/>
      <c r="J21" s="212"/>
      <c r="K21" s="212"/>
      <c r="L21" s="212"/>
      <c r="M21" s="167"/>
    </row>
    <row r="22" spans="1:13" ht="15.75">
      <c r="A22" s="195" t="s">
        <v>270</v>
      </c>
      <c r="B22" s="206">
        <f>B21*(1+E13)</f>
        <v>0.7970286666573715</v>
      </c>
      <c r="C22" s="196" t="s">
        <v>208</v>
      </c>
      <c r="D22" s="206">
        <f>D21*(1-E13)</f>
        <v>0.7810369272146465</v>
      </c>
      <c r="E22" s="212"/>
      <c r="F22" s="212"/>
      <c r="G22" s="212"/>
      <c r="H22" s="212"/>
      <c r="I22" s="212"/>
      <c r="J22" s="212"/>
      <c r="K22" s="212"/>
      <c r="L22" s="212"/>
      <c r="M22" s="167"/>
    </row>
    <row r="23" spans="1:13" ht="16.5" thickBot="1">
      <c r="A23" s="229" t="s">
        <v>271</v>
      </c>
      <c r="B23" s="230">
        <f>B22/COS($B$5+$B$7)</f>
        <v>0.8481802029652339</v>
      </c>
      <c r="C23" s="231" t="s">
        <v>208</v>
      </c>
      <c r="D23" s="230">
        <f>D22/COS($B$5+$B$7)</f>
        <v>0.8311621490686498</v>
      </c>
      <c r="E23" s="212"/>
      <c r="F23" s="212"/>
      <c r="G23" s="212"/>
      <c r="H23" s="212"/>
      <c r="I23" s="212"/>
      <c r="J23" s="212"/>
      <c r="K23" s="212"/>
      <c r="L23" s="212"/>
      <c r="M23" s="167"/>
    </row>
    <row r="24" spans="1:13" ht="12.75">
      <c r="A24" s="214" t="s">
        <v>336</v>
      </c>
      <c r="B24" s="215">
        <v>30</v>
      </c>
      <c r="C24" s="236" t="s">
        <v>338</v>
      </c>
      <c r="D24" s="239" t="s">
        <v>277</v>
      </c>
      <c r="E24" s="216">
        <v>0.5</v>
      </c>
      <c r="F24" s="236" t="s">
        <v>9</v>
      </c>
      <c r="G24" s="239" t="s">
        <v>280</v>
      </c>
      <c r="H24" s="216">
        <v>6.2</v>
      </c>
      <c r="I24" s="236" t="s">
        <v>9</v>
      </c>
      <c r="J24" s="232"/>
      <c r="K24" s="232"/>
      <c r="L24" s="233" t="b">
        <v>0</v>
      </c>
      <c r="M24" s="167"/>
    </row>
    <row r="25" spans="1:13" ht="12.75" hidden="1">
      <c r="A25" s="64" t="s">
        <v>337</v>
      </c>
      <c r="B25" s="171">
        <f>B24*3.14159/180</f>
        <v>0.5235983333333333</v>
      </c>
      <c r="C25" s="235" t="s">
        <v>339</v>
      </c>
      <c r="D25" s="243"/>
      <c r="E25" s="212"/>
      <c r="F25" s="167"/>
      <c r="G25" s="165"/>
      <c r="H25" s="212"/>
      <c r="I25" s="167"/>
      <c r="J25" s="212"/>
      <c r="K25" s="212"/>
      <c r="L25" s="226"/>
      <c r="M25" s="167"/>
    </row>
    <row r="26" spans="1:13" ht="12.75">
      <c r="A26" s="64" t="s">
        <v>341</v>
      </c>
      <c r="B26" s="168">
        <v>4.5</v>
      </c>
      <c r="C26" s="235" t="s">
        <v>340</v>
      </c>
      <c r="D26" s="240" t="s">
        <v>278</v>
      </c>
      <c r="E26" s="168">
        <v>0.1</v>
      </c>
      <c r="F26" s="235" t="s">
        <v>9</v>
      </c>
      <c r="G26" s="240" t="s">
        <v>281</v>
      </c>
      <c r="H26" s="168">
        <v>0.2</v>
      </c>
      <c r="I26" s="235" t="s">
        <v>9</v>
      </c>
      <c r="J26" s="212"/>
      <c r="K26" s="212"/>
      <c r="L26" s="226"/>
      <c r="M26" s="167"/>
    </row>
    <row r="27" spans="1:13" ht="15.75">
      <c r="A27" s="64" t="s">
        <v>342</v>
      </c>
      <c r="B27" s="168">
        <v>3</v>
      </c>
      <c r="C27" s="235" t="s">
        <v>340</v>
      </c>
      <c r="D27" s="240" t="s">
        <v>279</v>
      </c>
      <c r="E27" s="168">
        <v>0.5</v>
      </c>
      <c r="F27" s="235" t="s">
        <v>9</v>
      </c>
      <c r="G27" s="240" t="s">
        <v>276</v>
      </c>
      <c r="H27" s="168">
        <v>0</v>
      </c>
      <c r="I27" s="235" t="s">
        <v>9</v>
      </c>
      <c r="J27" s="234" t="s">
        <v>265</v>
      </c>
      <c r="K27" s="168">
        <v>1</v>
      </c>
      <c r="L27" s="226"/>
      <c r="M27" s="167"/>
    </row>
    <row r="28" spans="1:13" ht="13.5" thickBot="1">
      <c r="A28" s="213" t="s">
        <v>343</v>
      </c>
      <c r="B28" s="217">
        <f>MIN(B26*1.33333,B27*2)</f>
        <v>5.999985</v>
      </c>
      <c r="C28" s="237" t="s">
        <v>340</v>
      </c>
      <c r="D28" s="241" t="s">
        <v>90</v>
      </c>
      <c r="E28" s="227">
        <v>2.85</v>
      </c>
      <c r="F28" s="238" t="s">
        <v>9</v>
      </c>
      <c r="G28" s="241" t="s">
        <v>7</v>
      </c>
      <c r="H28" s="227">
        <v>2</v>
      </c>
      <c r="I28" s="238" t="s">
        <v>32</v>
      </c>
      <c r="J28" s="218"/>
      <c r="K28" s="218"/>
      <c r="L28" s="219"/>
      <c r="M28" s="167"/>
    </row>
    <row r="29" spans="1:13" ht="12.75">
      <c r="A29" s="250" t="s">
        <v>349</v>
      </c>
      <c r="B29" s="220" t="s">
        <v>282</v>
      </c>
      <c r="C29" s="220" t="s">
        <v>283</v>
      </c>
      <c r="D29" s="220" t="s">
        <v>284</v>
      </c>
      <c r="E29" s="220" t="s">
        <v>285</v>
      </c>
      <c r="F29" s="251"/>
      <c r="G29" s="212" t="s">
        <v>275</v>
      </c>
      <c r="H29" s="212"/>
      <c r="I29" s="212"/>
      <c r="J29" s="212"/>
      <c r="K29" s="212"/>
      <c r="L29" s="212"/>
      <c r="M29" s="167"/>
    </row>
    <row r="30" spans="1:13" ht="12.75">
      <c r="A30" s="252" t="s">
        <v>331</v>
      </c>
      <c r="B30" s="228">
        <f>SUM(B82:B86)</f>
        <v>34.33252207981029</v>
      </c>
      <c r="C30" s="228">
        <f>SUM(C82:C86)</f>
        <v>33.625579089996485</v>
      </c>
      <c r="D30" s="228">
        <f>SUM(D82:D86)</f>
        <v>32.4366101941778</v>
      </c>
      <c r="E30" s="228">
        <f>SUM(E82:E86)</f>
        <v>31.76870603797304</v>
      </c>
      <c r="F30" s="253" t="s">
        <v>6</v>
      </c>
      <c r="G30" s="212" t="s">
        <v>347</v>
      </c>
      <c r="H30" s="212"/>
      <c r="I30" s="212"/>
      <c r="J30" s="212"/>
      <c r="K30" s="212"/>
      <c r="L30" s="212"/>
      <c r="M30" s="167"/>
    </row>
    <row r="31" spans="1:13" ht="18">
      <c r="A31" s="252" t="s">
        <v>344</v>
      </c>
      <c r="B31" s="228">
        <f>-(B82*B95+B83*B96+B84*B96+B85*B97+B86*B97-B87*B92-B88*B93-B89*B93-B90*B94-B91*B94-H73*H81-H74*H82-H75*H83-H76*H84-H77*H85-H78*H86-H79*H87-H80*H88)</f>
        <v>-15.497453420887542</v>
      </c>
      <c r="C31" s="228">
        <f>-(C82*C95+C83*C96+C84*C96+C85*C97+C86*C97-C87*C92-C88*C93-C89*C93-C90*C94-C91*C94-I73*I81-I74*I82-I75*I83-I76*I84-I77*I85-I78*I86-I79*I87-I80*I88)</f>
        <v>-20.079622365295176</v>
      </c>
      <c r="D31" s="228">
        <f>-(D82*D95+D83*D96+D84*D96+D85*D97+D86*D97-D87*D92-D88*D93-D89*D93-D90*D94-D91*D94-J73*J81-J74*J82-J75*J83-J76*J84-J77*J85-J78*J86-J79*J87-J80*J88)</f>
        <v>-12.076780997603304</v>
      </c>
      <c r="E31" s="228">
        <f>-(E82*E95+E83*E96+E84*E96+E85*E97+E86*E97-E87*E92-E88*E93-E89*E93-E90*E94-E91*E94-K73*K81-K74*K82-K75*K83-K76*K84-K77*K85-K78*K86-K79*K87-K80*K88)</f>
        <v>-16.77997032619898</v>
      </c>
      <c r="F31" s="253" t="s">
        <v>11</v>
      </c>
      <c r="G31" s="245" t="str">
        <f>IF(0&lt;B31,IF(0&lt;C31,IF(0&lt;D31,IF(0&lt;E31,"","INSTABLE AU RENVERSEMENT"),"INSTABLE AU RENVERSEMENT"),"INSTABLE AU RENVERSEMENT"),"INSTABLE AU RENVERSEMENT")</f>
        <v>INSTABLE AU RENVERSEMENT</v>
      </c>
      <c r="H31" s="212"/>
      <c r="I31" s="212"/>
      <c r="J31" s="212"/>
      <c r="K31" s="212"/>
      <c r="L31" s="212"/>
      <c r="M31" s="167"/>
    </row>
    <row r="32" spans="1:13" ht="12.75">
      <c r="A32" s="252" t="s">
        <v>332</v>
      </c>
      <c r="B32" s="228">
        <f>SUM(B87:B91)+SUM(H73:H80)</f>
        <v>49.12160422934684</v>
      </c>
      <c r="C32" s="228">
        <f>SUM(C87:C91)+SUM(I73:I80)</f>
        <v>45.41344999421468</v>
      </c>
      <c r="D32" s="228">
        <f>SUM(D87:D91)+SUM(J73:J80)</f>
        <v>47.908441551728835</v>
      </c>
      <c r="E32" s="228">
        <f>SUM(E87:E91)+SUM(K73:K80)</f>
        <v>44.20028731659667</v>
      </c>
      <c r="F32" s="253" t="s">
        <v>6</v>
      </c>
      <c r="G32" s="212"/>
      <c r="H32" s="212"/>
      <c r="I32" s="212"/>
      <c r="J32" s="212"/>
      <c r="K32" s="246"/>
      <c r="L32" s="212"/>
      <c r="M32" s="167"/>
    </row>
    <row r="33" spans="1:13" ht="18">
      <c r="A33" s="252" t="s">
        <v>345</v>
      </c>
      <c r="B33" s="228">
        <f>B32*TAN($B$25)/1.2</f>
        <v>23.633618715411874</v>
      </c>
      <c r="C33" s="228">
        <f>C32*TAN($B$25)/1.2</f>
        <v>21.849533999410355</v>
      </c>
      <c r="D33" s="228">
        <f>D32*TAN($B$25)/1.2</f>
        <v>23.049936146155254</v>
      </c>
      <c r="E33" s="228">
        <f>E32*TAN($B$25)/1.2</f>
        <v>21.265851430153734</v>
      </c>
      <c r="F33" s="253" t="s">
        <v>6</v>
      </c>
      <c r="G33" s="245" t="str">
        <f>IF(B30&gt;B33,IF(C30&gt;C33,IF(D30&gt;D33,IF(E30&gt;E33,"INSTABLE AU GLISSEMENT",""),""),""),"")</f>
        <v>INSTABLE AU GLISSEMENT</v>
      </c>
      <c r="H33" s="212"/>
      <c r="I33" s="212"/>
      <c r="J33" s="212"/>
      <c r="K33" s="212"/>
      <c r="L33" s="212"/>
      <c r="M33" s="167"/>
    </row>
    <row r="34" spans="1:13" ht="18">
      <c r="A34" s="254" t="s">
        <v>346</v>
      </c>
      <c r="B34" s="221">
        <f>B32/(2*B31/B32)/10</f>
        <v>-7.784930648065135</v>
      </c>
      <c r="C34" s="221">
        <f>C32/(2*C31/C32)/10</f>
        <v>-5.135508534118589</v>
      </c>
      <c r="D34" s="221">
        <f>D32/(2*D31/D32)/10</f>
        <v>-9.502609894022735</v>
      </c>
      <c r="E34" s="221">
        <f>E32/(2*E31/E32)/10</f>
        <v>-5.821420899116224</v>
      </c>
      <c r="F34" s="253" t="s">
        <v>340</v>
      </c>
      <c r="G34" s="245">
        <f>IF(B28&gt;B34,IF(B28&gt;C34,IF(B28&gt;D34,IF(B28&gt;E34,"","Dépassement contrainte admissible du sol"),"Dépassement contrainte admissible du sol"),"Dépassement contrainte admissible du sol"),"Dépassement contrainte admissible du sol")</f>
      </c>
      <c r="H34" s="212"/>
      <c r="I34" s="212"/>
      <c r="J34" s="212"/>
      <c r="K34" s="212"/>
      <c r="L34" s="212"/>
      <c r="M34" s="167"/>
    </row>
    <row r="35" spans="1:13" ht="13.5" thickBot="1">
      <c r="A35" s="255" t="s">
        <v>350</v>
      </c>
      <c r="B35" s="256" t="str">
        <f>"------"</f>
        <v>------</v>
      </c>
      <c r="C35" s="256" t="str">
        <f>"------"</f>
        <v>------</v>
      </c>
      <c r="D35" s="257">
        <f>D82*(D95-$E$24)+(D83+D84)*(D96-$E$24)+(D97-$E$24)*(D85+D86)</f>
        <v>84.33518650486229</v>
      </c>
      <c r="E35" s="257">
        <f>E82*(E95-$E$24)+(E83+E84)*(E96-$E$24)+(E97-$E$24)*(E85+E86)</f>
        <v>82.59863569872991</v>
      </c>
      <c r="F35" s="258" t="s">
        <v>11</v>
      </c>
      <c r="G35" s="179"/>
      <c r="H35" s="179"/>
      <c r="I35" s="179"/>
      <c r="J35" s="179"/>
      <c r="K35" s="179"/>
      <c r="L35" s="179"/>
      <c r="M35" s="180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>
      <c r="A47" t="s">
        <v>274</v>
      </c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5" spans="3:5" ht="12.75">
      <c r="C65" t="s">
        <v>288</v>
      </c>
      <c r="D65">
        <f>$H$24/COS($B$7)</f>
        <v>6.2</v>
      </c>
      <c r="E65" s="170" t="s">
        <v>9</v>
      </c>
    </row>
    <row r="66" spans="3:5" ht="15.75">
      <c r="C66" t="s">
        <v>289</v>
      </c>
      <c r="D66">
        <f>$H$27/COS($B$7)</f>
        <v>0</v>
      </c>
      <c r="E66" s="170" t="s">
        <v>9</v>
      </c>
    </row>
    <row r="71" spans="1:12" ht="12.75">
      <c r="A71" s="173"/>
      <c r="B71" s="247" t="s">
        <v>282</v>
      </c>
      <c r="C71" s="247" t="s">
        <v>283</v>
      </c>
      <c r="D71" s="247" t="s">
        <v>284</v>
      </c>
      <c r="E71" s="247" t="s">
        <v>285</v>
      </c>
      <c r="F71" s="178"/>
      <c r="G71" s="173"/>
      <c r="H71" s="178"/>
      <c r="I71" s="178"/>
      <c r="J71" s="178"/>
      <c r="K71" s="178"/>
      <c r="L71" s="164"/>
    </row>
    <row r="72" spans="1:12" ht="15.75">
      <c r="A72" s="165" t="s">
        <v>286</v>
      </c>
      <c r="B72" s="166">
        <f>0.5*$B$10*$B$18*($D$65-$D$66)</f>
        <v>4.008542363169009</v>
      </c>
      <c r="C72" s="166">
        <f>0.5*$B$10*$D$18*($D$65-$D$66)</f>
        <v>3.926002230625689</v>
      </c>
      <c r="D72" s="166">
        <f>0.5*$B$10*$B$18*($D$65-$D$66)</f>
        <v>4.008542363169009</v>
      </c>
      <c r="E72" s="166">
        <f>0.5*$B$10*$D$18*($D$65-$D$66)</f>
        <v>3.926002230625689</v>
      </c>
      <c r="F72" s="212" t="s">
        <v>32</v>
      </c>
      <c r="G72" s="165"/>
      <c r="H72" s="169" t="s">
        <v>282</v>
      </c>
      <c r="I72" s="169" t="s">
        <v>283</v>
      </c>
      <c r="J72" s="169" t="s">
        <v>284</v>
      </c>
      <c r="K72" s="249" t="s">
        <v>285</v>
      </c>
      <c r="L72" s="167"/>
    </row>
    <row r="73" spans="1:12" ht="15.75">
      <c r="A73" s="165" t="s">
        <v>287</v>
      </c>
      <c r="B73" s="166">
        <f>$B$19*$H$28</f>
        <v>1.5289611980907147</v>
      </c>
      <c r="C73" s="166">
        <f>$D$19*$H$28</f>
        <v>1.4974782677608403</v>
      </c>
      <c r="D73" s="166">
        <f>$B$19*$H$28*0.8</f>
        <v>1.2231689584725718</v>
      </c>
      <c r="E73" s="166">
        <f>$D$19*$H$28*0.8</f>
        <v>1.1979826142086722</v>
      </c>
      <c r="F73" s="212" t="s">
        <v>32</v>
      </c>
      <c r="G73" s="165" t="s">
        <v>315</v>
      </c>
      <c r="H73" s="166">
        <f>(1+$E$13)*$B$11*($D$65-$E$24/COS($B$7))*($E$27+$H$26)/2</f>
        <v>5.2119374999999994</v>
      </c>
      <c r="I73" s="166">
        <f>(1-$E$13)*$B$11*($D$65-$E$24/COS($B$7))*($E$27+$H$26)/2</f>
        <v>4.763062499999999</v>
      </c>
      <c r="J73" s="166">
        <f>(1+$E$13)*$B$11*($D$65-$E$24/COS($B$7))*($E$27+$H$26)/2</f>
        <v>5.2119374999999994</v>
      </c>
      <c r="K73" s="166">
        <f>(1-$E$13)*$B$11*($D$65-$E$24/COS($B$7))*($E$27+$H$26)/2</f>
        <v>4.763062499999999</v>
      </c>
      <c r="L73" s="167" t="s">
        <v>294</v>
      </c>
    </row>
    <row r="74" spans="1:12" ht="15.75">
      <c r="A74" s="165" t="s">
        <v>291</v>
      </c>
      <c r="B74" s="166">
        <f>0.5*($B$10-$K$27)*$B$22*$D$66</f>
        <v>0</v>
      </c>
      <c r="C74" s="166">
        <f>0.5*($B$10-$K$27)*$D$22*$D$66</f>
        <v>0</v>
      </c>
      <c r="D74" s="166">
        <f>0.5*($B$10-$K$27)*$B$22*$D$66</f>
        <v>0</v>
      </c>
      <c r="E74" s="166">
        <f>0.5*($B$10-$K$27)*$D$22*$D$66</f>
        <v>0</v>
      </c>
      <c r="F74" s="212" t="s">
        <v>32</v>
      </c>
      <c r="G74" s="165" t="s">
        <v>316</v>
      </c>
      <c r="H74" s="166">
        <f>(1+$E$13)*($B$11-$K$27*$L$24)*$E$24*($E$26+$E$27+$E$28)</f>
        <v>4.5065625</v>
      </c>
      <c r="I74" s="166">
        <f>(1-$E$13)*($B$11-$K$27*$L$24)*$E$24*($E$26+$E$27+$E$28)</f>
        <v>4.1184375</v>
      </c>
      <c r="J74" s="166">
        <f>(1+$E$13)*($B$11-$K$27*$L$24)*$E$24*($E$26+$E$27+$E$28)</f>
        <v>4.5065625</v>
      </c>
      <c r="K74" s="166">
        <f>(1-$E$13)*($B$11-$K$27*$L$24)*$E$24*($E$26+$E$27+$E$28)</f>
        <v>4.1184375</v>
      </c>
      <c r="L74" s="167" t="s">
        <v>294</v>
      </c>
    </row>
    <row r="75" spans="1:12" ht="12.75">
      <c r="A75" s="165" t="s">
        <v>292</v>
      </c>
      <c r="B75" s="166">
        <f>$H$28+$B$10*($H$24-$H$27)*(1+$E$13)</f>
        <v>13.662199999999999</v>
      </c>
      <c r="C75" s="166">
        <f>$H$28+$B$10*($H$24-$H$27)*(1-$E$13)</f>
        <v>12.6578</v>
      </c>
      <c r="D75" s="166">
        <f>0.8*$H$28+$B$10*($H$24-$H$27)*(1+$E$13)</f>
        <v>13.262199999999998</v>
      </c>
      <c r="E75" s="166">
        <f>0.8*$H$28+$B$10*($H$24-$H$27)*(1-$E$13)</f>
        <v>12.2578</v>
      </c>
      <c r="F75" s="212" t="s">
        <v>32</v>
      </c>
      <c r="G75" s="165" t="s">
        <v>317</v>
      </c>
      <c r="H75" s="166">
        <f>($E$26+$E$27+$E$28-($E$26+$E$27-$E$24*TAN($B$7)+$D$65*TAN($B$7)))^2*TAN($B$5)/2*$B$10*(1+$E$13)</f>
        <v>2.78044584125681</v>
      </c>
      <c r="I75" s="166">
        <f>($E$26+$E$27+$E$28-($E$26+$E$27-$E$24*TAN($B$7)+$D$65*TAN($B$7)))^2*TAN($B$5)/2*$B$10*(1-$E$13)</f>
        <v>2.540981606124644</v>
      </c>
      <c r="J75" s="166">
        <f>($E$26+$E$27+$E$28-($E$26+$E$27-$E$24*TAN($B$7)+$D$65*TAN($B$7)))^2*TAN($B$5)/2*$B$10*(1+$E$13)</f>
        <v>2.78044584125681</v>
      </c>
      <c r="K75" s="166">
        <f>($E$26+$E$27+$E$28-($E$26+$E$27-$E$24*TAN($B$7)+$D$65*TAN($B$7)))^2*TAN($B$5)/2*$B$10*(1-$E$13)</f>
        <v>2.540981606124644</v>
      </c>
      <c r="L75" s="167" t="s">
        <v>294</v>
      </c>
    </row>
    <row r="76" spans="1:12" ht="15.75">
      <c r="A76" s="165" t="s">
        <v>290</v>
      </c>
      <c r="B76" s="166">
        <f>$B$23*B75</f>
        <v>11.588007568951618</v>
      </c>
      <c r="C76" s="166">
        <f>$D$23*C75</f>
        <v>10.520684250481155</v>
      </c>
      <c r="D76" s="166">
        <f>$B$23*D75</f>
        <v>11.248735487765524</v>
      </c>
      <c r="E76" s="166">
        <f>$B$23*E75</f>
        <v>10.396823291907243</v>
      </c>
      <c r="F76" s="212" t="s">
        <v>32</v>
      </c>
      <c r="G76" s="165" t="s">
        <v>318</v>
      </c>
      <c r="H76" s="166">
        <f>IF(L24,($E$26+$E$27+$E$28-($E$26+$E$27-$E$24*TAN($B$7)+$D$65*TAN($B$7)))*($H$24-$H$27)*$B$10*(1+$E$13),($E$26+$E$27+$E$28-($E$26+$E$27-$E$24*TAN($B$7)+$D$65*TAN($B$7)))*($H$24-$E$24)*$B$10*(1+$E$13))</f>
        <v>30.556845000000003</v>
      </c>
      <c r="I76" s="166">
        <f>IF(L24,($E$26+$E$27+$E$28-($E$26+$E$27-$E$24*TAN($B$7)+$D$65*TAN($B$7)))*($H$24-$H$27)*$B$10*(1-$E$13),($E$26+$E$27+$E$28-($E$26+$E$27-$E$24*TAN($B$7)+$D$65*TAN($B$7)))*($H$24-$E$24)*$B$10*(1-$E$13))</f>
        <v>27.925155</v>
      </c>
      <c r="J76" s="166">
        <f>IF(L24,($E$26+$E$27+$E$28-($E$26+$E$27-$E$24*TAN($B$7)+$D$65*TAN($B$7)))*($H$24-$H$27)*$B$10*(1+$E$13),($E$26+$E$27+$E$28-($E$26+$E$27-$E$24*TAN($B$7)+$D$65*TAN($B$7)))*($H$24-$E$24)*$B$10*(1+$E$13))</f>
        <v>30.556845000000003</v>
      </c>
      <c r="K76" s="166">
        <f>IF(L24,($E$26+$E$27+$E$28-($E$26+$E$27-$E$24*TAN($B$7)+$D$65*TAN($B$7)))*($H$24-$H$27)*$B$10*(1-$E$13),($E$26+$E$27+$E$28-($E$26+$E$27-$E$24*TAN($B$7)+$D$65*TAN($B$7)))*($H$24-$E$24)*$B$10*(1-$E$13))</f>
        <v>27.925155</v>
      </c>
      <c r="L76" s="167" t="s">
        <v>294</v>
      </c>
    </row>
    <row r="77" spans="1:12" ht="12.75">
      <c r="A77" s="165" t="s">
        <v>293</v>
      </c>
      <c r="B77" s="166">
        <f>$L$24*$H$27*$D$66/2*$K$27</f>
        <v>0</v>
      </c>
      <c r="C77" s="166">
        <f>$L$24*$H$27*$D$66/2*$K$27</f>
        <v>0</v>
      </c>
      <c r="D77" s="166">
        <f>$L$24*$H$27*$D$66/2*$K$27</f>
        <v>0</v>
      </c>
      <c r="E77" s="166">
        <f>$L$24*$H$27*$D$66/2*$K$27</f>
        <v>0</v>
      </c>
      <c r="F77" s="212" t="s">
        <v>294</v>
      </c>
      <c r="G77" s="165" t="s">
        <v>319</v>
      </c>
      <c r="H77" s="166">
        <f>($H$24-$H$27)*TAN($B$7)*($H$24-$H$27)/2*$B$10*(1+$E$13)</f>
        <v>0</v>
      </c>
      <c r="I77" s="166">
        <f>($H$24-$H$27)*TAN($B$7)*($H$24-$H$27)/2*$B$10*(1-$E$13)</f>
        <v>0</v>
      </c>
      <c r="J77" s="166">
        <f>($H$24-$H$27)*TAN($B$7)*($H$24-$H$27)/2*$B$10*(1+$E$13)</f>
        <v>0</v>
      </c>
      <c r="K77" s="166">
        <f>($H$24-$H$27)*TAN($B$7)*($H$24-$H$27)/2*$B$10*(1-$E$13)</f>
        <v>0</v>
      </c>
      <c r="L77" s="167" t="s">
        <v>294</v>
      </c>
    </row>
    <row r="78" spans="1:12" ht="15.75">
      <c r="A78" s="165" t="s">
        <v>295</v>
      </c>
      <c r="B78" s="166">
        <f aca="true" t="shared" si="0" ref="B78:E79">B72*($D$65-$D$66)</f>
        <v>24.852962651647857</v>
      </c>
      <c r="C78" s="166">
        <f t="shared" si="0"/>
        <v>24.341213829879273</v>
      </c>
      <c r="D78" s="166">
        <f t="shared" si="0"/>
        <v>24.852962651647857</v>
      </c>
      <c r="E78" s="166">
        <f t="shared" si="0"/>
        <v>24.341213829879273</v>
      </c>
      <c r="F78" s="212" t="s">
        <v>294</v>
      </c>
      <c r="G78" s="165" t="s">
        <v>320</v>
      </c>
      <c r="H78" s="166">
        <f>L24*((($E$26+$E$27+$E$28-($E$26+$E$27-$E$24*TAN($B$7)+$D$65*TAN($B$7)))+($H$24-$H$27)*TAN($B$7))*($H$27-$E$24)*($B$10-$K$27)*(1+$E$13))</f>
        <v>0</v>
      </c>
      <c r="I78" s="166">
        <f>L24*((($E$26+$E$27+$E$28-($E$26+$E$27-$E$24*TAN($B$7)+$D$65*TAN($B$7)))+($H$24-$H$27)*TAN($B$7))*($H$27-$E$24)*($B$10-$K$27)*(1-$E$13))</f>
        <v>0</v>
      </c>
      <c r="J78" s="166">
        <f>L24*((($E$26+$E$27+$E$28-($E$26+$E$27-$E$24*TAN($B$7)+$D$65*TAN($B$7)))+($H$24-$H$27)*TAN($B$7))*($H$27-$E$24)*($B$10-$K$27)*(1+$E$13))</f>
        <v>0</v>
      </c>
      <c r="K78" s="166">
        <f>L24*((($E$26+$E$27+$E$28-($E$26+$E$27-$E$24*TAN($B$7)+$D$65*TAN($B$7)))+($H$24-$H$27)*TAN($B$7))*($H$27-$E$24)*($B$10-$K$27)*(1-$E$13))</f>
        <v>0</v>
      </c>
      <c r="L78" s="167" t="s">
        <v>294</v>
      </c>
    </row>
    <row r="79" spans="1:12" ht="15.75">
      <c r="A79" s="165" t="s">
        <v>296</v>
      </c>
      <c r="B79" s="166">
        <f t="shared" si="0"/>
        <v>9.479559428162432</v>
      </c>
      <c r="C79" s="166">
        <f t="shared" si="0"/>
        <v>9.28436526011721</v>
      </c>
      <c r="D79" s="166">
        <f t="shared" si="0"/>
        <v>7.583647542529945</v>
      </c>
      <c r="E79" s="166">
        <f t="shared" si="0"/>
        <v>7.427492208093768</v>
      </c>
      <c r="F79" s="212" t="s">
        <v>294</v>
      </c>
      <c r="G79" s="165" t="s">
        <v>321</v>
      </c>
      <c r="H79" s="166">
        <f>L24*(($H$27-$E$24)*TAN($B$7)*($H$27-$E$24)/2*($B$10-$K$27)*(1+$E$13))</f>
        <v>0</v>
      </c>
      <c r="I79" s="166">
        <f>L24*((($H$27-$E$24)*TAN($B$7)*($H$27-$E$24)/2*($B$10-$K$27)*(1-$E$13)))</f>
        <v>0</v>
      </c>
      <c r="J79" s="166">
        <f>L24*(($H$27-$E$24)*TAN($B$7)*($H$27-$E$24)/2*($B$10-$K$27)*(1+$E$13))</f>
        <v>0</v>
      </c>
      <c r="K79" s="166">
        <f>L24*(($H$27-$E$24)*TAN($B$7)*($H$27-$E$24)/2*($B$10-$K$27)*(1-$E$13))</f>
        <v>0</v>
      </c>
      <c r="L79" s="167" t="s">
        <v>294</v>
      </c>
    </row>
    <row r="80" spans="1:12" ht="15.75">
      <c r="A80" s="165" t="s">
        <v>297</v>
      </c>
      <c r="B80" s="166">
        <f>B74*$D$66</f>
        <v>0</v>
      </c>
      <c r="C80" s="166">
        <f>C74*$D$66</f>
        <v>0</v>
      </c>
      <c r="D80" s="166">
        <f>D74*$D$66</f>
        <v>0</v>
      </c>
      <c r="E80" s="166">
        <f>E74*$D$66</f>
        <v>0</v>
      </c>
      <c r="F80" s="212" t="s">
        <v>294</v>
      </c>
      <c r="G80" s="136" t="s">
        <v>333</v>
      </c>
      <c r="H80" s="166">
        <f>($E$26+$E$27+$E$28-($E$26+$E$27-$E$24*TAN($B$7)+$D$65*TAN($B$7)))/COS($B$5)*$H$28</f>
        <v>6.065813388090034</v>
      </c>
      <c r="I80" s="166">
        <f>($E$26+$E$27+$E$28-($E$26+$E$27-$E$24*TAN($B$7)+$D$65*TAN($B$7)))/COS($B$5)*$H$28</f>
        <v>6.065813388090034</v>
      </c>
      <c r="J80" s="166">
        <f>($E$26+$E$27+$E$28-($E$26+$E$27-$E$24*TAN($B$7)+$D$65*TAN($B$7)))/COS($B$5)*$H$28*0.8</f>
        <v>4.852650710472028</v>
      </c>
      <c r="K80" s="166">
        <f>($E$26+$E$27+$E$28-($E$26+$E$27-$E$24*TAN($B$7)+$D$65*TAN($B$7)))/COS($B$5)*$H$28*0.8</f>
        <v>4.852650710472028</v>
      </c>
      <c r="L80" s="167" t="s">
        <v>294</v>
      </c>
    </row>
    <row r="81" spans="1:15" s="212" customFormat="1" ht="15.75">
      <c r="A81" s="165" t="s">
        <v>298</v>
      </c>
      <c r="B81" s="166">
        <f>B76*$D$66</f>
        <v>0</v>
      </c>
      <c r="C81" s="166">
        <f>C76*$D$66</f>
        <v>0</v>
      </c>
      <c r="D81" s="166">
        <f>D76*$D$66</f>
        <v>0</v>
      </c>
      <c r="E81" s="166">
        <f>E76*$D$66</f>
        <v>0</v>
      </c>
      <c r="F81" s="212" t="s">
        <v>294</v>
      </c>
      <c r="G81" s="165" t="s">
        <v>323</v>
      </c>
      <c r="H81" s="166">
        <f>($E$26+$E$27-$E$24*TAN($B$7)+$D$65*TAN($B$7))-(($H$26^2/2+($E$27/2+TAN($B$7)*($H$24-$E$24))*$E$27)/($H$26+$E$27))</f>
        <v>0.3928571428571428</v>
      </c>
      <c r="I81" s="166">
        <f>($E$26+$E$27-$E$24*TAN($B$7)+$D$65*TAN($B$7))-(($H$26^2/2+($E$27/2+TAN($B$7)*($H$24-$E$24))*$E$27)/($H$26+$E$27))</f>
        <v>0.3928571428571428</v>
      </c>
      <c r="J81" s="166">
        <f>($E$26+$E$27-$E$24*TAN($B$7)+$D$65*TAN($B$7))-(($H$26^2/2+($E$27/2+TAN($B$7)*($H$24-$E$24))*$E$27)/($H$26+$E$27))</f>
        <v>0.3928571428571428</v>
      </c>
      <c r="K81" s="166">
        <f>($E$26+$E$27-$E$24*TAN($B$7)+$D$65*TAN($B$7))-(($H$26^2/2+($E$27/2+TAN($B$7)*($H$24-$E$24))*$E$27)/($H$26+$E$27))</f>
        <v>0.3928571428571428</v>
      </c>
      <c r="L81" s="167" t="s">
        <v>9</v>
      </c>
      <c r="M81"/>
      <c r="N81"/>
      <c r="O81"/>
    </row>
    <row r="82" spans="1:12" ht="12.75">
      <c r="A82" s="165" t="s">
        <v>305</v>
      </c>
      <c r="B82" s="166">
        <f>B77*COS($B$7)</f>
        <v>0</v>
      </c>
      <c r="C82" s="166">
        <f>C77*COS($B$7)</f>
        <v>0</v>
      </c>
      <c r="D82" s="166">
        <f>D77*COS($B$7)</f>
        <v>0</v>
      </c>
      <c r="E82" s="166">
        <f>E77*COS($B$7)</f>
        <v>0</v>
      </c>
      <c r="F82" s="212" t="s">
        <v>294</v>
      </c>
      <c r="G82" s="165" t="s">
        <v>324</v>
      </c>
      <c r="H82" s="166">
        <f>($E$26+$E$27+$E$28)/2</f>
        <v>1.725</v>
      </c>
      <c r="I82" s="166">
        <f>($E$26+$E$27+$E$28)/2</f>
        <v>1.725</v>
      </c>
      <c r="J82" s="166">
        <f>($E$26+$E$27+$E$28)/2</f>
        <v>1.725</v>
      </c>
      <c r="K82" s="166">
        <f>($E$26+$E$27+$E$28)/2</f>
        <v>1.725</v>
      </c>
      <c r="L82" s="167" t="s">
        <v>9</v>
      </c>
    </row>
    <row r="83" spans="1:12" ht="15.75">
      <c r="A83" s="165" t="s">
        <v>306</v>
      </c>
      <c r="B83" s="166">
        <f>COS($B$9-$B$7)*B78</f>
        <v>24.852962651647857</v>
      </c>
      <c r="C83" s="166">
        <f aca="true" t="shared" si="1" ref="C83:E84">COS($B$9-$B$7)*C78</f>
        <v>24.341213829879273</v>
      </c>
      <c r="D83" s="166">
        <f t="shared" si="1"/>
        <v>24.852962651647857</v>
      </c>
      <c r="E83" s="166">
        <f t="shared" si="1"/>
        <v>24.341213829879273</v>
      </c>
      <c r="F83" s="212" t="s">
        <v>294</v>
      </c>
      <c r="G83" s="165" t="s">
        <v>325</v>
      </c>
      <c r="H83" s="166">
        <f>($E$26+$E$27-$E$24*TAN($B$7)+$D$65*TAN($B$7))+($E$26+$E$27+$E$28-($E$26+$E$27-$E$24*TAN($B$7)+$D$65*TAN($B$7)))/3*2</f>
        <v>2.5</v>
      </c>
      <c r="I83" s="166">
        <f>($E$26+$E$27-$E$24*TAN($B$7)+$D$65*TAN($B$7))+($E$26+$E$27+$E$28-($E$26+$E$27-$E$24*TAN($B$7)+$D$65*TAN($B$7)))/3*2</f>
        <v>2.5</v>
      </c>
      <c r="J83" s="166">
        <f>($E$26+$E$27-$E$24*TAN($B$7)+$D$65*TAN($B$7))+($E$26+$E$27+$E$28-($E$26+$E$27-$E$24*TAN($B$7)+$D$65*TAN($B$7)))/3*2</f>
        <v>2.5</v>
      </c>
      <c r="K83" s="166">
        <f>($E$26+$E$27-$E$24*TAN($B$7)+$D$65*TAN($B$7))+($E$26+$E$27+$E$28-($E$26+$E$27-$E$24*TAN($B$7)+$D$65*TAN($B$7)))/3*2</f>
        <v>2.5</v>
      </c>
      <c r="L83" s="167" t="s">
        <v>9</v>
      </c>
    </row>
    <row r="84" spans="1:12" ht="15.75">
      <c r="A84" s="165" t="s">
        <v>307</v>
      </c>
      <c r="B84" s="166">
        <f>COS($B$9-$B$7)*B79</f>
        <v>9.479559428162432</v>
      </c>
      <c r="C84" s="166">
        <f t="shared" si="1"/>
        <v>9.28436526011721</v>
      </c>
      <c r="D84" s="166">
        <f t="shared" si="1"/>
        <v>7.583647542529945</v>
      </c>
      <c r="E84" s="166">
        <f t="shared" si="1"/>
        <v>7.427492208093768</v>
      </c>
      <c r="F84" s="212" t="s">
        <v>294</v>
      </c>
      <c r="G84" s="165" t="s">
        <v>326</v>
      </c>
      <c r="H84" s="166">
        <f>($E$26+$E$27-$E$24*TAN($B$7)+$D$65*TAN($B$7))+($E$26+$E$27+$E$28-($E$26+$E$27-$E$24*TAN($B$7)+$D$65*TAN($B$7)))/2</f>
        <v>2.025</v>
      </c>
      <c r="I84" s="166">
        <f>($E$26+$E$27-$E$24*TAN($B$7)+$D$65*TAN($B$7))+($E$26+$E$27+$E$28-($E$26+$E$27-$E$24*TAN($B$7)+$D$65*TAN($B$7)))/2</f>
        <v>2.025</v>
      </c>
      <c r="J84" s="166">
        <f>($E$26+$E$27-$E$24*TAN($B$7)+$D$65*TAN($B$7))+($E$26+$E$27+$E$28-($E$26+$E$27-$E$24*TAN($B$7)+$D$65*TAN($B$7)))/2</f>
        <v>2.025</v>
      </c>
      <c r="K84" s="166">
        <f>($E$26+$E$27-$E$24*TAN($B$7)+$D$65*TAN($B$7))+($E$26+$E$27+$E$28-($E$26+$E$27-$E$24*TAN($B$7)+$D$65*TAN($B$7)))/2</f>
        <v>2.025</v>
      </c>
      <c r="L84" s="167" t="s">
        <v>9</v>
      </c>
    </row>
    <row r="85" spans="1:12" ht="15.75">
      <c r="A85" s="165" t="s">
        <v>308</v>
      </c>
      <c r="B85" s="166">
        <f>COS($B$9-$B$7)*B80</f>
        <v>0</v>
      </c>
      <c r="C85" s="166">
        <f aca="true" t="shared" si="2" ref="C85:E86">COS($B$9-$B$7)*C80</f>
        <v>0</v>
      </c>
      <c r="D85" s="166">
        <f t="shared" si="2"/>
        <v>0</v>
      </c>
      <c r="E85" s="166">
        <f t="shared" si="2"/>
        <v>0</v>
      </c>
      <c r="F85" s="212" t="s">
        <v>294</v>
      </c>
      <c r="G85" s="165" t="s">
        <v>327</v>
      </c>
      <c r="H85" s="166">
        <f>($E$26+$E$27-$E$24*TAN($B$7)+$D$65*TAN($B$7))-($H$24-$H$27)*TAN($B$7)/3</f>
        <v>0.6</v>
      </c>
      <c r="I85" s="166">
        <f>($E$26+$E$27-$E$24*TAN($B$7)+$D$65*TAN($B$7))-($H$24-$H$27)*TAN($B$7)/3</f>
        <v>0.6</v>
      </c>
      <c r="J85" s="166">
        <f>($E$26+$E$27-$E$24*TAN($B$7)+$D$65*TAN($B$7))-($H$24-$H$27)*TAN($B$7)/3</f>
        <v>0.6</v>
      </c>
      <c r="K85" s="166">
        <f>($E$26+$E$27-$E$24*TAN($B$7)+$D$65*TAN($B$7))-($H$24-$H$27)*TAN($B$7)/3</f>
        <v>0.6</v>
      </c>
      <c r="L85" s="167" t="s">
        <v>9</v>
      </c>
    </row>
    <row r="86" spans="1:12" ht="15.75">
      <c r="A86" s="165" t="s">
        <v>309</v>
      </c>
      <c r="B86" s="166">
        <f>COS($B$9-$B$7)*B81</f>
        <v>0</v>
      </c>
      <c r="C86" s="166">
        <f t="shared" si="2"/>
        <v>0</v>
      </c>
      <c r="D86" s="166">
        <f t="shared" si="2"/>
        <v>0</v>
      </c>
      <c r="E86" s="166">
        <f t="shared" si="2"/>
        <v>0</v>
      </c>
      <c r="F86" s="212" t="s">
        <v>294</v>
      </c>
      <c r="G86" s="165" t="s">
        <v>328</v>
      </c>
      <c r="H86" s="166">
        <f>($E$26+$E$27-$E$24*TAN($B$7)+$D$65*TAN($B$7))+(($E$26+$E$27+$E$28-($E$26+$E$27-$E$24*TAN($B$7)+$D$65*TAN($B$7)))-($H$24-$H$27)*TAN($B$7))/2</f>
        <v>2.025</v>
      </c>
      <c r="I86" s="166">
        <f>($E$26+$E$27-$E$24*TAN($B$7)+$D$65*TAN($B$7))+(($E$26+$E$27+$E$28-($E$26+$E$27-$E$24*TAN($B$7)+$D$65*TAN($B$7)))-($H$24-$H$27)*TAN($B$7))/2</f>
        <v>2.025</v>
      </c>
      <c r="J86" s="166">
        <f>($E$26+$E$27-$E$24*TAN($B$7)+$D$65*TAN($B$7))+(($E$26+$E$27+$E$28-($E$26+$E$27-$E$24*TAN($B$7)+$D$65*TAN($B$7)))-($H$24-$H$27)*TAN($B$7))/2</f>
        <v>2.025</v>
      </c>
      <c r="K86" s="166">
        <f>($E$26+$E$27-$E$24*TAN($B$7)+$D$65*TAN($B$7))+(($E$26+$E$27+$E$28-($E$26+$E$27-$E$24*TAN($B$7)+$D$65*TAN($B$7)))-($H$24-$H$27)*TAN($B$7))/2</f>
        <v>2.025</v>
      </c>
      <c r="L86" s="167" t="s">
        <v>9</v>
      </c>
    </row>
    <row r="87" spans="1:12" ht="12.75">
      <c r="A87" s="165" t="s">
        <v>310</v>
      </c>
      <c r="B87" s="166">
        <f>-SIN($B$7)*B77</f>
        <v>0</v>
      </c>
      <c r="C87" s="166">
        <f>-SIN($B$7)*C77</f>
        <v>0</v>
      </c>
      <c r="D87" s="166">
        <f>-SIN($B$7)*D77</f>
        <v>0</v>
      </c>
      <c r="E87" s="166">
        <f>-SIN($B$7)*E77</f>
        <v>0</v>
      </c>
      <c r="F87" s="212" t="s">
        <v>294</v>
      </c>
      <c r="G87" s="165" t="s">
        <v>329</v>
      </c>
      <c r="H87" s="166">
        <f>($E$26+$E$27-$E$24*TAN($B$7)+$D$65*TAN($B$7))-($H$24-$H$27)*TAN($B$7)-($H$27-$E$24)*TAN($B$7)/3</f>
        <v>0.6</v>
      </c>
      <c r="I87" s="166">
        <f>($E$26+$E$27-$E$24*TAN($B$7)+$D$65*TAN($B$7))-($H$24-$H$27)*TAN($B$7)-($H$27-$E$24)*TAN($B$7)/3</f>
        <v>0.6</v>
      </c>
      <c r="J87" s="166">
        <f>($E$26+$E$27-$E$24*TAN($B$7)+$D$65*TAN($B$7))-($H$24-$H$27)*TAN($B$7)-($H$27-$E$24)*TAN($B$7)/3</f>
        <v>0.6</v>
      </c>
      <c r="K87" s="166">
        <f>($E$26+$E$27-$E$24*TAN($B$7)+$D$65*TAN($B$7))-($H$24-$H$27)*TAN($B$7)-($H$27-$E$24)*TAN($B$7)/3</f>
        <v>0.6</v>
      </c>
      <c r="L87" s="167" t="s">
        <v>9</v>
      </c>
    </row>
    <row r="88" spans="1:12" ht="15.75">
      <c r="A88" s="165" t="s">
        <v>311</v>
      </c>
      <c r="B88" s="166">
        <f>SIN($B$9-$B$7)*B78</f>
        <v>0</v>
      </c>
      <c r="C88" s="166">
        <f aca="true" t="shared" si="3" ref="C88:E89">SIN($B$9-$B$7)*C78</f>
        <v>0</v>
      </c>
      <c r="D88" s="166">
        <f t="shared" si="3"/>
        <v>0</v>
      </c>
      <c r="E88" s="166">
        <f t="shared" si="3"/>
        <v>0</v>
      </c>
      <c r="F88" s="212" t="s">
        <v>294</v>
      </c>
      <c r="G88" s="248" t="s">
        <v>330</v>
      </c>
      <c r="H88" s="166">
        <f>($E$26+$E$27-$E$24*TAN($B$7)+$D$65*TAN($B$7))+($E$26+$E$27+$E$28-($E$26+$E$27-$E$24*TAN($B$7)+$D$65*TAN($B$7)))/2</f>
        <v>2.025</v>
      </c>
      <c r="I88" s="166">
        <f>($E$26+$E$27-$E$24*TAN($B$7)+$D$65*TAN($B$7))+($E$26+$E$27+$E$28-($E$26+$E$27-$E$24*TAN($B$7)+$D$65*TAN($B$7)))/2</f>
        <v>2.025</v>
      </c>
      <c r="J88" s="166">
        <f>($E$26+$E$27-$E$24*TAN($B$7)+$D$65*TAN($B$7))+($E$26+$E$27+$E$28-($E$26+$E$27-$E$24*TAN($B$7)+$D$65*TAN($B$7)))/2</f>
        <v>2.025</v>
      </c>
      <c r="K88" s="166">
        <f>($E$26+$E$27-$E$24*TAN($B$7)+$D$65*TAN($B$7))+($E$26+$E$27+$E$28-($E$26+$E$27-$E$24*TAN($B$7)+$D$65*TAN($B$7)))/2</f>
        <v>2.025</v>
      </c>
      <c r="L88" s="167" t="s">
        <v>9</v>
      </c>
    </row>
    <row r="89" spans="1:12" ht="15.75">
      <c r="A89" s="165" t="s">
        <v>312</v>
      </c>
      <c r="B89" s="166">
        <f>SIN($B$9-$B$7)*B79</f>
        <v>0</v>
      </c>
      <c r="C89" s="166">
        <f t="shared" si="3"/>
        <v>0</v>
      </c>
      <c r="D89" s="166">
        <f t="shared" si="3"/>
        <v>0</v>
      </c>
      <c r="E89" s="166">
        <f t="shared" si="3"/>
        <v>0</v>
      </c>
      <c r="F89" s="212" t="s">
        <v>294</v>
      </c>
      <c r="G89" s="176"/>
      <c r="H89" s="211"/>
      <c r="I89" s="211"/>
      <c r="J89" s="211"/>
      <c r="K89" s="179"/>
      <c r="L89" s="180"/>
    </row>
    <row r="90" spans="1:6" ht="15.75">
      <c r="A90" s="165" t="s">
        <v>313</v>
      </c>
      <c r="B90" s="166">
        <f>SIN($B$9-$B$7)*B80</f>
        <v>0</v>
      </c>
      <c r="C90" s="166">
        <f aca="true" t="shared" si="4" ref="C90:E91">SIN($B$9-$B$7)*C80</f>
        <v>0</v>
      </c>
      <c r="D90" s="166">
        <f t="shared" si="4"/>
        <v>0</v>
      </c>
      <c r="E90" s="166">
        <f t="shared" si="4"/>
        <v>0</v>
      </c>
      <c r="F90" s="167" t="s">
        <v>294</v>
      </c>
    </row>
    <row r="91" spans="1:6" ht="15.75">
      <c r="A91" s="165" t="s">
        <v>314</v>
      </c>
      <c r="B91" s="166">
        <f>SIN($B$9-$B$7)*B81</f>
        <v>0</v>
      </c>
      <c r="C91" s="166">
        <f t="shared" si="4"/>
        <v>0</v>
      </c>
      <c r="D91" s="166">
        <f t="shared" si="4"/>
        <v>0</v>
      </c>
      <c r="E91" s="166">
        <f t="shared" si="4"/>
        <v>0</v>
      </c>
      <c r="F91" s="167" t="s">
        <v>294</v>
      </c>
    </row>
    <row r="92" spans="1:6" ht="12.75">
      <c r="A92" s="165" t="s">
        <v>299</v>
      </c>
      <c r="B92" s="166">
        <f>$E$26+$E$27+$H$27/3*TAN($B$7)-$E$24*TAN($B$7)</f>
        <v>0.6</v>
      </c>
      <c r="C92" s="166">
        <f>$E$26+$E$27+$H$27/3*TAN($B$7)-$E$24*TAN($B$7)</f>
        <v>0.6</v>
      </c>
      <c r="D92" s="166">
        <f>$E$26+$E$27+$H$27/3*TAN($B$7)-$E$24*TAN($B$7)</f>
        <v>0.6</v>
      </c>
      <c r="E92" s="166">
        <f>$E$26+$E$27+$H$27/3*TAN($B$7)-$E$24*TAN($B$7)</f>
        <v>0.6</v>
      </c>
      <c r="F92" s="167" t="s">
        <v>9</v>
      </c>
    </row>
    <row r="93" spans="1:6" ht="15.75">
      <c r="A93" s="165" t="s">
        <v>301</v>
      </c>
      <c r="B93" s="166">
        <f>$E$26+$E$27-$E$24*TAN($B$7)+SIN($B$7)*($D$65+$D$66)/2</f>
        <v>0.6</v>
      </c>
      <c r="C93" s="166">
        <f>$E$26+$E$27-$E$24*TAN($B$7)+SIN($B$7)*($D$65+$D$66)/2</f>
        <v>0.6</v>
      </c>
      <c r="D93" s="166">
        <f>$E$26+$E$27-$E$24*TAN($B$7)+SIN($B$7)*($D$65+$D$66)/2</f>
        <v>0.6</v>
      </c>
      <c r="E93" s="166">
        <f>$E$26+$E$27-$E$24*TAN($B$7)+SIN($B$7)*($D$65+$D$66)/2</f>
        <v>0.6</v>
      </c>
      <c r="F93" s="167" t="s">
        <v>9</v>
      </c>
    </row>
    <row r="94" spans="1:6" ht="15.75">
      <c r="A94" s="165" t="s">
        <v>302</v>
      </c>
      <c r="B94" s="166">
        <f>$E$26+$E$27-$E$24*TAN($B$7)+SIN($B$7)*$D$66/2</f>
        <v>0.6</v>
      </c>
      <c r="C94" s="166">
        <f>$E$26+$E$27-$E$24*TAN($B$7)+SIN($B$7)*$D$66/2</f>
        <v>0.6</v>
      </c>
      <c r="D94" s="166">
        <f>$E$26+$E$27-$E$24*TAN($B$7)+SIN($B$7)*$D$66/2</f>
        <v>0.6</v>
      </c>
      <c r="E94" s="166">
        <f>$E$26+$E$27-$E$24*TAN($B$7)+SIN($B$7)*$D$66/2</f>
        <v>0.6</v>
      </c>
      <c r="F94" s="167" t="s">
        <v>9</v>
      </c>
    </row>
    <row r="95" spans="1:6" ht="12.75">
      <c r="A95" s="165" t="s">
        <v>300</v>
      </c>
      <c r="B95" s="166">
        <f>$H$27/3</f>
        <v>0</v>
      </c>
      <c r="C95" s="166">
        <f>$H$27/3</f>
        <v>0</v>
      </c>
      <c r="D95" s="166">
        <f>$H$27/3</f>
        <v>0</v>
      </c>
      <c r="E95" s="166">
        <f>$H$27/3</f>
        <v>0</v>
      </c>
      <c r="F95" s="167" t="s">
        <v>9</v>
      </c>
    </row>
    <row r="96" spans="1:6" ht="15.75">
      <c r="A96" s="165" t="s">
        <v>303</v>
      </c>
      <c r="B96" s="166">
        <f>($H$24+$H$27)/2</f>
        <v>3.1</v>
      </c>
      <c r="C96" s="166">
        <f>($H$24+$H$27)/2</f>
        <v>3.1</v>
      </c>
      <c r="D96" s="166">
        <f>($H$24+$H$27)/2</f>
        <v>3.1</v>
      </c>
      <c r="E96" s="166">
        <f>($H$24+$H$27)/2</f>
        <v>3.1</v>
      </c>
      <c r="F96" s="167" t="s">
        <v>9</v>
      </c>
    </row>
    <row r="97" spans="1:6" ht="15.75">
      <c r="A97" s="176" t="s">
        <v>304</v>
      </c>
      <c r="B97" s="211">
        <f>($H$27)/2</f>
        <v>0</v>
      </c>
      <c r="C97" s="211">
        <f>($H$27)/2</f>
        <v>0</v>
      </c>
      <c r="D97" s="211">
        <f>($H$27)/2</f>
        <v>0</v>
      </c>
      <c r="E97" s="211">
        <f>($H$27)/2</f>
        <v>0</v>
      </c>
      <c r="F97" s="180" t="s">
        <v>9</v>
      </c>
    </row>
    <row r="114" ht="18">
      <c r="G114" s="210">
        <f>IF(MAX(B34:E34)&gt;B28,"CONTRAINTE LIMITE DU SOL DEPASSEE","")</f>
      </c>
    </row>
  </sheetData>
  <mergeCells count="2">
    <mergeCell ref="C4:D4"/>
    <mergeCell ref="D1:G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3"/>
  <dimension ref="A2:I33"/>
  <sheetViews>
    <sheetView workbookViewId="0" topLeftCell="A9">
      <selection activeCell="C33" sqref="C33"/>
    </sheetView>
  </sheetViews>
  <sheetFormatPr defaultColWidth="11.421875" defaultRowHeight="12.75"/>
  <cols>
    <col min="1" max="1" width="5.8515625" style="0" customWidth="1"/>
    <col min="2" max="2" width="6.28125" style="0" customWidth="1"/>
    <col min="3" max="3" width="6.140625" style="0" customWidth="1"/>
    <col min="4" max="4" width="9.7109375" style="0" customWidth="1"/>
    <col min="5" max="5" width="9.421875" style="0" customWidth="1"/>
  </cols>
  <sheetData>
    <row r="2" spans="1:9" ht="20.25" customHeight="1">
      <c r="A2" s="323" t="s">
        <v>210</v>
      </c>
      <c r="B2" s="324"/>
      <c r="C2" s="324"/>
      <c r="D2" s="324"/>
      <c r="E2" s="324"/>
      <c r="F2" s="324"/>
      <c r="G2" s="324"/>
      <c r="H2" s="324"/>
      <c r="I2" s="325"/>
    </row>
    <row r="3" ht="51.75" customHeight="1"/>
    <row r="4" ht="12.75">
      <c r="B4" t="s">
        <v>212</v>
      </c>
    </row>
    <row r="5" spans="2:7" ht="12.75">
      <c r="B5" t="s">
        <v>211</v>
      </c>
      <c r="E5" s="172" t="s">
        <v>213</v>
      </c>
      <c r="G5" t="s">
        <v>214</v>
      </c>
    </row>
    <row r="7" ht="26.25" customHeight="1"/>
    <row r="8" ht="27.75" customHeight="1">
      <c r="B8" s="182" t="s">
        <v>236</v>
      </c>
    </row>
    <row r="9" ht="12" customHeight="1"/>
    <row r="19" spans="3:7" ht="15.75">
      <c r="C19" s="173" t="s">
        <v>225</v>
      </c>
      <c r="D19" s="178">
        <v>0.15</v>
      </c>
      <c r="E19" s="164" t="s">
        <v>182</v>
      </c>
      <c r="F19" s="173" t="s">
        <v>226</v>
      </c>
      <c r="G19" s="174">
        <v>2.5</v>
      </c>
    </row>
    <row r="20" spans="3:7" ht="15.75">
      <c r="C20" s="165" t="s">
        <v>224</v>
      </c>
      <c r="D20" s="166">
        <v>0.3</v>
      </c>
      <c r="E20" s="167" t="s">
        <v>182</v>
      </c>
      <c r="F20" s="165" t="s">
        <v>227</v>
      </c>
      <c r="G20" s="175">
        <v>2.5</v>
      </c>
    </row>
    <row r="21" spans="3:7" ht="15.75">
      <c r="C21" s="176" t="s">
        <v>223</v>
      </c>
      <c r="D21" s="179">
        <v>2.67</v>
      </c>
      <c r="E21" s="180" t="s">
        <v>182</v>
      </c>
      <c r="F21" s="176" t="s">
        <v>228</v>
      </c>
      <c r="G21" s="177" t="s">
        <v>229</v>
      </c>
    </row>
    <row r="23" ht="23.25" customHeight="1"/>
    <row r="24" ht="24.75" customHeight="1">
      <c r="B24" s="182" t="s">
        <v>230</v>
      </c>
    </row>
    <row r="25" spans="3:7" ht="12.75">
      <c r="C25" s="19" t="s">
        <v>231</v>
      </c>
      <c r="D25" s="181">
        <v>4</v>
      </c>
      <c r="E25" t="s">
        <v>232</v>
      </c>
      <c r="G25" s="19" t="s">
        <v>234</v>
      </c>
    </row>
    <row r="26" spans="3:7" ht="12.75">
      <c r="C26" s="19" t="s">
        <v>231</v>
      </c>
      <c r="D26" s="181">
        <v>5</v>
      </c>
      <c r="E26" t="s">
        <v>233</v>
      </c>
      <c r="G26" s="19" t="s">
        <v>235</v>
      </c>
    </row>
    <row r="27" ht="24.75" customHeight="1"/>
    <row r="28" ht="18.75" customHeight="1">
      <c r="B28" s="182" t="s">
        <v>215</v>
      </c>
    </row>
    <row r="29" ht="12.75">
      <c r="C29" t="s">
        <v>216</v>
      </c>
    </row>
    <row r="30" ht="12.75">
      <c r="C30" t="s">
        <v>217</v>
      </c>
    </row>
    <row r="31" ht="15.75">
      <c r="C31" t="s">
        <v>218</v>
      </c>
    </row>
    <row r="32" spans="3:6" ht="12.75">
      <c r="C32" t="s">
        <v>221</v>
      </c>
      <c r="F32" s="19" t="s">
        <v>219</v>
      </c>
    </row>
    <row r="33" spans="3:6" ht="12.75">
      <c r="C33" t="s">
        <v>220</v>
      </c>
      <c r="F33" s="19" t="s">
        <v>222</v>
      </c>
    </row>
  </sheetData>
  <mergeCells count="1">
    <mergeCell ref="A2:I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A1" sqref="A1:L1"/>
    </sheetView>
  </sheetViews>
  <sheetFormatPr defaultColWidth="11.421875" defaultRowHeight="12.75"/>
  <cols>
    <col min="1" max="1" width="8.57421875" style="0" customWidth="1"/>
    <col min="2" max="2" width="9.8515625" style="0" customWidth="1"/>
    <col min="3" max="3" width="11.00390625" style="267" customWidth="1"/>
    <col min="4" max="5" width="13.00390625" style="0" customWidth="1"/>
    <col min="6" max="6" width="10.421875" style="0" customWidth="1"/>
    <col min="8" max="8" width="9.421875" style="0" customWidth="1"/>
    <col min="11" max="11" width="10.28125" style="0" customWidth="1"/>
    <col min="13" max="13" width="14.140625" style="0" hidden="1" customWidth="1"/>
  </cols>
  <sheetData>
    <row r="1" spans="1:12" ht="15.75">
      <c r="A1" s="326" t="s">
        <v>351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ht="15.7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5" spans="2:6" ht="12.75">
      <c r="B5" s="260"/>
      <c r="C5" s="260" t="s">
        <v>352</v>
      </c>
      <c r="D5" s="261">
        <v>3.9</v>
      </c>
      <c r="E5" s="262"/>
      <c r="F5" s="263"/>
    </row>
    <row r="6" spans="2:6" ht="12.75">
      <c r="B6" s="260"/>
      <c r="C6" s="260" t="s">
        <v>353</v>
      </c>
      <c r="D6" s="264">
        <v>11.9</v>
      </c>
      <c r="E6" s="265"/>
      <c r="F6" s="263"/>
    </row>
    <row r="7" spans="2:6" ht="12.75">
      <c r="B7" s="260"/>
      <c r="C7" s="260" t="s">
        <v>354</v>
      </c>
      <c r="D7" s="264">
        <v>0.74</v>
      </c>
      <c r="E7" s="265"/>
      <c r="F7" s="265"/>
    </row>
    <row r="9" ht="16.5" thickBot="1">
      <c r="A9" s="266" t="s">
        <v>355</v>
      </c>
    </row>
    <row r="10" spans="1:13" ht="25.5">
      <c r="A10" s="268" t="s">
        <v>356</v>
      </c>
      <c r="B10" s="269" t="s">
        <v>357</v>
      </c>
      <c r="C10" s="269" t="s">
        <v>358</v>
      </c>
      <c r="D10" s="269" t="s">
        <v>359</v>
      </c>
      <c r="E10" s="269" t="s">
        <v>360</v>
      </c>
      <c r="F10" s="269" t="s">
        <v>361</v>
      </c>
      <c r="G10" s="269" t="s">
        <v>362</v>
      </c>
      <c r="H10" s="270" t="s">
        <v>363</v>
      </c>
      <c r="I10" s="269" t="s">
        <v>364</v>
      </c>
      <c r="J10" s="269" t="s">
        <v>365</v>
      </c>
      <c r="K10" s="271" t="s">
        <v>366</v>
      </c>
      <c r="L10" s="272" t="s">
        <v>367</v>
      </c>
      <c r="M10" s="273" t="s">
        <v>368</v>
      </c>
    </row>
    <row r="11" spans="1:13" ht="13.5" thickBot="1">
      <c r="A11" s="274"/>
      <c r="B11" s="275"/>
      <c r="C11" s="276"/>
      <c r="D11" s="277"/>
      <c r="E11" s="277"/>
      <c r="F11" s="277"/>
      <c r="G11" s="277"/>
      <c r="H11" s="277"/>
      <c r="I11" s="277"/>
      <c r="J11" s="277"/>
      <c r="K11" s="278"/>
      <c r="L11" s="219"/>
      <c r="M11" s="219"/>
    </row>
    <row r="12" spans="1:13" s="267" customFormat="1" ht="12.75">
      <c r="A12" s="279" t="s">
        <v>253</v>
      </c>
      <c r="B12" s="280">
        <v>2.52</v>
      </c>
      <c r="C12" s="280">
        <v>0.2</v>
      </c>
      <c r="D12" s="281">
        <f>SQRT(B12^2+$D$5^2)</f>
        <v>4.643317779347005</v>
      </c>
      <c r="E12" s="281">
        <f>MIN(D12/6,4*C12)</f>
        <v>0.7738862965578343</v>
      </c>
      <c r="F12" s="281">
        <f>$D$5/B12</f>
        <v>1.5476190476190477</v>
      </c>
      <c r="G12" s="280">
        <v>0.16</v>
      </c>
      <c r="H12" s="281">
        <f>G12*$D$6/100</f>
        <v>0.01904</v>
      </c>
      <c r="I12" s="281">
        <f>$D$5*H12/B12</f>
        <v>0.02946666666666667</v>
      </c>
      <c r="J12" s="281">
        <f>SQRT(I12^2+H12^2)</f>
        <v>0.03508284544395515</v>
      </c>
      <c r="K12" s="282">
        <f>J12/100/(C12*E12)</f>
        <v>0.0022666666666666664</v>
      </c>
      <c r="L12" s="283" t="str">
        <f>IF(K12&lt;=$D$7,"OK","pas bon")</f>
        <v>OK</v>
      </c>
      <c r="M12" s="283">
        <f>IF(OR(F12&lt;=0.5,F12&gt;=2),"glissement","")</f>
      </c>
    </row>
    <row r="13" spans="1:13" s="267" customFormat="1" ht="12.75">
      <c r="A13" s="284" t="s">
        <v>369</v>
      </c>
      <c r="B13" s="285">
        <v>4.67</v>
      </c>
      <c r="C13" s="285">
        <v>0.2</v>
      </c>
      <c r="D13" s="286">
        <f aca="true" t="shared" si="0" ref="D13:D23">SQRT(B13^2+$D$5^2)</f>
        <v>6.084315902383767</v>
      </c>
      <c r="E13" s="286">
        <f aca="true" t="shared" si="1" ref="E13:E23">MIN(D13/6,4*C13)</f>
        <v>0.8</v>
      </c>
      <c r="F13" s="286">
        <f aca="true" t="shared" si="2" ref="F13:F23">$D$5/B13</f>
        <v>0.8351177730192719</v>
      </c>
      <c r="G13" s="285">
        <v>0.99</v>
      </c>
      <c r="H13" s="286">
        <f aca="true" t="shared" si="3" ref="H13:H23">G13*$D$6/100</f>
        <v>0.11781000000000001</v>
      </c>
      <c r="I13" s="286">
        <f aca="true" t="shared" si="4" ref="I13:I23">$D$5*H13/B13</f>
        <v>0.09838522483940045</v>
      </c>
      <c r="J13" s="286">
        <f aca="true" t="shared" si="5" ref="J13:J23">SQRT(I13^2+H13^2)</f>
        <v>0.15348892001281195</v>
      </c>
      <c r="K13" s="287">
        <f aca="true" t="shared" si="6" ref="K13:K23">J13/100/(C13*E13)</f>
        <v>0.009593057500800745</v>
      </c>
      <c r="L13" s="288" t="str">
        <f aca="true" t="shared" si="7" ref="L13:L23">IF(K13&lt;=$D$7,"OK","pas bon")</f>
        <v>OK</v>
      </c>
      <c r="M13" s="288">
        <f aca="true" t="shared" si="8" ref="M13:M23">IF(OR(F13&lt;=0.5,F13&gt;=2),"glissement","")</f>
      </c>
    </row>
    <row r="14" spans="1:13" s="267" customFormat="1" ht="12.75">
      <c r="A14" s="284" t="s">
        <v>370</v>
      </c>
      <c r="B14" s="285">
        <v>3.71</v>
      </c>
      <c r="C14" s="285">
        <v>0.15</v>
      </c>
      <c r="D14" s="286">
        <f t="shared" si="0"/>
        <v>5.38275951534155</v>
      </c>
      <c r="E14" s="286">
        <f t="shared" si="1"/>
        <v>0.6</v>
      </c>
      <c r="F14" s="286">
        <f t="shared" si="2"/>
        <v>1.0512129380053907</v>
      </c>
      <c r="G14" s="285">
        <v>0.1</v>
      </c>
      <c r="H14" s="286">
        <f t="shared" si="3"/>
        <v>0.0119</v>
      </c>
      <c r="I14" s="286">
        <f t="shared" si="4"/>
        <v>0.01250943396226415</v>
      </c>
      <c r="J14" s="286">
        <f t="shared" si="5"/>
        <v>0.017265455049208744</v>
      </c>
      <c r="K14" s="287">
        <f t="shared" si="6"/>
        <v>0.001918383894356527</v>
      </c>
      <c r="L14" s="288" t="str">
        <f t="shared" si="7"/>
        <v>OK</v>
      </c>
      <c r="M14" s="288">
        <f t="shared" si="8"/>
      </c>
    </row>
    <row r="15" spans="1:13" s="267" customFormat="1" ht="12.75">
      <c r="A15" s="284" t="s">
        <v>371</v>
      </c>
      <c r="B15" s="285">
        <v>4.34</v>
      </c>
      <c r="C15" s="285">
        <v>0.15</v>
      </c>
      <c r="D15" s="286">
        <f t="shared" si="0"/>
        <v>5.8348607524087495</v>
      </c>
      <c r="E15" s="286">
        <f t="shared" si="1"/>
        <v>0.6</v>
      </c>
      <c r="F15" s="286">
        <f t="shared" si="2"/>
        <v>0.8986175115207373</v>
      </c>
      <c r="G15" s="285">
        <v>0.16</v>
      </c>
      <c r="H15" s="286">
        <f t="shared" si="3"/>
        <v>0.01904</v>
      </c>
      <c r="I15" s="286">
        <f t="shared" si="4"/>
        <v>0.01710967741935484</v>
      </c>
      <c r="J15" s="286">
        <f t="shared" si="5"/>
        <v>0.025598098784760968</v>
      </c>
      <c r="K15" s="287">
        <f t="shared" si="6"/>
        <v>0.0028442331983067745</v>
      </c>
      <c r="L15" s="288" t="str">
        <f t="shared" si="7"/>
        <v>OK</v>
      </c>
      <c r="M15" s="288">
        <f t="shared" si="8"/>
      </c>
    </row>
    <row r="16" spans="1:13" s="267" customFormat="1" ht="12.75">
      <c r="A16" s="284" t="s">
        <v>372</v>
      </c>
      <c r="B16" s="285">
        <v>4.34</v>
      </c>
      <c r="C16" s="285">
        <v>0.15</v>
      </c>
      <c r="D16" s="286">
        <f t="shared" si="0"/>
        <v>5.8348607524087495</v>
      </c>
      <c r="E16" s="286">
        <f t="shared" si="1"/>
        <v>0.6</v>
      </c>
      <c r="F16" s="286">
        <f t="shared" si="2"/>
        <v>0.8986175115207373</v>
      </c>
      <c r="G16" s="285">
        <v>-0.16</v>
      </c>
      <c r="H16" s="286">
        <f t="shared" si="3"/>
        <v>-0.01904</v>
      </c>
      <c r="I16" s="286">
        <f t="shared" si="4"/>
        <v>-0.01710967741935484</v>
      </c>
      <c r="J16" s="286">
        <f t="shared" si="5"/>
        <v>0.025598098784760968</v>
      </c>
      <c r="K16" s="287">
        <f t="shared" si="6"/>
        <v>0.0028442331983067745</v>
      </c>
      <c r="L16" s="288" t="str">
        <f t="shared" si="7"/>
        <v>OK</v>
      </c>
      <c r="M16" s="288">
        <f t="shared" si="8"/>
      </c>
    </row>
    <row r="17" spans="1:13" s="267" customFormat="1" ht="12.75">
      <c r="A17" s="284" t="s">
        <v>373</v>
      </c>
      <c r="B17" s="285">
        <v>3.71</v>
      </c>
      <c r="C17" s="285">
        <v>0.15</v>
      </c>
      <c r="D17" s="286">
        <f t="shared" si="0"/>
        <v>5.38275951534155</v>
      </c>
      <c r="E17" s="286">
        <f t="shared" si="1"/>
        <v>0.6</v>
      </c>
      <c r="F17" s="286">
        <f t="shared" si="2"/>
        <v>1.0512129380053907</v>
      </c>
      <c r="G17" s="285">
        <v>-0.1</v>
      </c>
      <c r="H17" s="286">
        <f t="shared" si="3"/>
        <v>-0.0119</v>
      </c>
      <c r="I17" s="286">
        <f t="shared" si="4"/>
        <v>-0.01250943396226415</v>
      </c>
      <c r="J17" s="286">
        <f t="shared" si="5"/>
        <v>0.017265455049208744</v>
      </c>
      <c r="K17" s="287">
        <f t="shared" si="6"/>
        <v>0.001918383894356527</v>
      </c>
      <c r="L17" s="288" t="str">
        <f t="shared" si="7"/>
        <v>OK</v>
      </c>
      <c r="M17" s="288">
        <f t="shared" si="8"/>
      </c>
    </row>
    <row r="18" spans="1:13" s="267" customFormat="1" ht="12.75">
      <c r="A18" s="284" t="s">
        <v>374</v>
      </c>
      <c r="B18" s="285">
        <v>4.67</v>
      </c>
      <c r="C18" s="285">
        <v>0.2</v>
      </c>
      <c r="D18" s="286">
        <f t="shared" si="0"/>
        <v>6.084315902383767</v>
      </c>
      <c r="E18" s="286">
        <f t="shared" si="1"/>
        <v>0.8</v>
      </c>
      <c r="F18" s="286">
        <f t="shared" si="2"/>
        <v>0.8351177730192719</v>
      </c>
      <c r="G18" s="285">
        <v>-0.99</v>
      </c>
      <c r="H18" s="286">
        <f t="shared" si="3"/>
        <v>-0.11781000000000001</v>
      </c>
      <c r="I18" s="286">
        <f t="shared" si="4"/>
        <v>-0.09838522483940045</v>
      </c>
      <c r="J18" s="286">
        <f t="shared" si="5"/>
        <v>0.15348892001281195</v>
      </c>
      <c r="K18" s="287">
        <f t="shared" si="6"/>
        <v>0.009593057500800745</v>
      </c>
      <c r="L18" s="288" t="str">
        <f t="shared" si="7"/>
        <v>OK</v>
      </c>
      <c r="M18" s="288">
        <f t="shared" si="8"/>
      </c>
    </row>
    <row r="19" spans="1:13" s="267" customFormat="1" ht="12.75">
      <c r="A19" s="284" t="s">
        <v>375</v>
      </c>
      <c r="B19" s="285">
        <v>2.52</v>
      </c>
      <c r="C19" s="285">
        <v>0.2</v>
      </c>
      <c r="D19" s="286">
        <f t="shared" si="0"/>
        <v>4.643317779347005</v>
      </c>
      <c r="E19" s="286">
        <f t="shared" si="1"/>
        <v>0.7738862965578343</v>
      </c>
      <c r="F19" s="286">
        <f t="shared" si="2"/>
        <v>1.5476190476190477</v>
      </c>
      <c r="G19" s="285">
        <v>-0.16</v>
      </c>
      <c r="H19" s="286">
        <f t="shared" si="3"/>
        <v>-0.01904</v>
      </c>
      <c r="I19" s="286">
        <f t="shared" si="4"/>
        <v>-0.02946666666666667</v>
      </c>
      <c r="J19" s="286">
        <f t="shared" si="5"/>
        <v>0.03508284544395515</v>
      </c>
      <c r="K19" s="287">
        <f t="shared" si="6"/>
        <v>0.0022666666666666664</v>
      </c>
      <c r="L19" s="288" t="str">
        <f t="shared" si="7"/>
        <v>OK</v>
      </c>
      <c r="M19" s="288">
        <f t="shared" si="8"/>
      </c>
    </row>
    <row r="20" spans="1:13" s="267" customFormat="1" ht="12.75">
      <c r="A20" s="284" t="s">
        <v>376</v>
      </c>
      <c r="B20" s="285">
        <v>11.14</v>
      </c>
      <c r="C20" s="285">
        <v>0.2</v>
      </c>
      <c r="D20" s="286">
        <f t="shared" si="0"/>
        <v>11.802948784096287</v>
      </c>
      <c r="E20" s="286">
        <f t="shared" si="1"/>
        <v>0.8</v>
      </c>
      <c r="F20" s="286">
        <f t="shared" si="2"/>
        <v>0.35008976660682223</v>
      </c>
      <c r="G20" s="285">
        <v>17.63</v>
      </c>
      <c r="H20" s="286">
        <f t="shared" si="3"/>
        <v>2.09797</v>
      </c>
      <c r="I20" s="286">
        <f t="shared" si="4"/>
        <v>0.7344778276481149</v>
      </c>
      <c r="J20" s="286">
        <f t="shared" si="5"/>
        <v>2.2228215853294873</v>
      </c>
      <c r="K20" s="287">
        <f t="shared" si="6"/>
        <v>0.13892634908309293</v>
      </c>
      <c r="L20" s="288" t="str">
        <f t="shared" si="7"/>
        <v>OK</v>
      </c>
      <c r="M20" s="288" t="str">
        <f t="shared" si="8"/>
        <v>glissement</v>
      </c>
    </row>
    <row r="21" spans="1:13" s="267" customFormat="1" ht="12.75">
      <c r="A21" s="284" t="s">
        <v>377</v>
      </c>
      <c r="B21" s="285">
        <v>14.44</v>
      </c>
      <c r="C21" s="285">
        <v>0.2</v>
      </c>
      <c r="D21" s="286">
        <f t="shared" si="0"/>
        <v>14.957392820943094</v>
      </c>
      <c r="E21" s="286">
        <f t="shared" si="1"/>
        <v>0.8</v>
      </c>
      <c r="F21" s="286">
        <f t="shared" si="2"/>
        <v>0.2700831024930748</v>
      </c>
      <c r="G21" s="285">
        <v>38.4</v>
      </c>
      <c r="H21" s="286">
        <f t="shared" si="3"/>
        <v>4.569599999999999</v>
      </c>
      <c r="I21" s="286">
        <f t="shared" si="4"/>
        <v>1.2341717451523546</v>
      </c>
      <c r="J21" s="286">
        <f t="shared" si="5"/>
        <v>4.733331179680163</v>
      </c>
      <c r="K21" s="287">
        <f t="shared" si="6"/>
        <v>0.2958331987300101</v>
      </c>
      <c r="L21" s="288" t="str">
        <f t="shared" si="7"/>
        <v>OK</v>
      </c>
      <c r="M21" s="288" t="str">
        <f t="shared" si="8"/>
        <v>glissement</v>
      </c>
    </row>
    <row r="22" spans="1:13" s="267" customFormat="1" ht="12.75">
      <c r="A22" s="284" t="s">
        <v>378</v>
      </c>
      <c r="B22" s="285">
        <v>18.11</v>
      </c>
      <c r="C22" s="285">
        <v>0.2</v>
      </c>
      <c r="D22" s="286">
        <f t="shared" si="0"/>
        <v>18.52517476300831</v>
      </c>
      <c r="E22" s="286">
        <f t="shared" si="1"/>
        <v>0.8</v>
      </c>
      <c r="F22" s="286">
        <f t="shared" si="2"/>
        <v>0.21535063500828272</v>
      </c>
      <c r="G22" s="285">
        <v>35.67</v>
      </c>
      <c r="H22" s="286">
        <f t="shared" si="3"/>
        <v>4.244730000000001</v>
      </c>
      <c r="I22" s="286">
        <f t="shared" si="4"/>
        <v>0.9141053009387081</v>
      </c>
      <c r="J22" s="286">
        <f t="shared" si="5"/>
        <v>4.34204114145689</v>
      </c>
      <c r="K22" s="287">
        <f t="shared" si="6"/>
        <v>0.27137757134105556</v>
      </c>
      <c r="L22" s="288" t="str">
        <f t="shared" si="7"/>
        <v>OK</v>
      </c>
      <c r="M22" s="288" t="str">
        <f t="shared" si="8"/>
        <v>glissement</v>
      </c>
    </row>
    <row r="23" spans="1:13" s="267" customFormat="1" ht="13.5" thickBot="1">
      <c r="A23" s="289" t="s">
        <v>379</v>
      </c>
      <c r="B23" s="290">
        <v>11.14</v>
      </c>
      <c r="C23" s="290">
        <v>0.2</v>
      </c>
      <c r="D23" s="291">
        <f t="shared" si="0"/>
        <v>11.802948784096287</v>
      </c>
      <c r="E23" s="291">
        <f t="shared" si="1"/>
        <v>0.8</v>
      </c>
      <c r="F23" s="291">
        <f t="shared" si="2"/>
        <v>0.35008976660682223</v>
      </c>
      <c r="G23" s="290">
        <v>8.3</v>
      </c>
      <c r="H23" s="291">
        <f t="shared" si="3"/>
        <v>0.9877000000000001</v>
      </c>
      <c r="I23" s="291">
        <f t="shared" si="4"/>
        <v>0.3457836624775584</v>
      </c>
      <c r="J23" s="291">
        <f t="shared" si="5"/>
        <v>1.0464786816922715</v>
      </c>
      <c r="K23" s="292">
        <f t="shared" si="6"/>
        <v>0.06540491760576696</v>
      </c>
      <c r="L23" s="293" t="str">
        <f t="shared" si="7"/>
        <v>OK</v>
      </c>
      <c r="M23" s="293" t="str">
        <f t="shared" si="8"/>
        <v>glissement</v>
      </c>
    </row>
    <row r="25" ht="16.5" thickBot="1">
      <c r="A25" s="266" t="s">
        <v>380</v>
      </c>
    </row>
    <row r="26" spans="1:13" ht="25.5">
      <c r="A26" s="268" t="s">
        <v>356</v>
      </c>
      <c r="B26" s="269" t="s">
        <v>357</v>
      </c>
      <c r="C26" s="269" t="s">
        <v>358</v>
      </c>
      <c r="D26" s="269" t="s">
        <v>359</v>
      </c>
      <c r="E26" s="269" t="s">
        <v>360</v>
      </c>
      <c r="F26" s="269" t="s">
        <v>361</v>
      </c>
      <c r="G26" s="269" t="s">
        <v>362</v>
      </c>
      <c r="H26" s="270" t="s">
        <v>363</v>
      </c>
      <c r="I26" s="269" t="s">
        <v>364</v>
      </c>
      <c r="J26" s="269" t="s">
        <v>365</v>
      </c>
      <c r="K26" s="271" t="s">
        <v>366</v>
      </c>
      <c r="L26" s="272" t="s">
        <v>367</v>
      </c>
      <c r="M26" s="272" t="s">
        <v>367</v>
      </c>
    </row>
    <row r="27" spans="1:13" ht="13.5" thickBot="1">
      <c r="A27" s="274"/>
      <c r="B27" s="275"/>
      <c r="C27" s="276"/>
      <c r="D27" s="277"/>
      <c r="E27" s="277"/>
      <c r="F27" s="277"/>
      <c r="G27" s="277"/>
      <c r="H27" s="277"/>
      <c r="I27" s="277"/>
      <c r="J27" s="277"/>
      <c r="K27" s="278"/>
      <c r="L27" s="219"/>
      <c r="M27" s="219"/>
    </row>
    <row r="28" spans="1:13" s="267" customFormat="1" ht="12.75">
      <c r="A28" s="294" t="str">
        <f aca="true" t="shared" si="9" ref="A28:C37">A12</f>
        <v>V1</v>
      </c>
      <c r="B28" s="295">
        <f t="shared" si="9"/>
        <v>2.52</v>
      </c>
      <c r="C28" s="295">
        <f t="shared" si="9"/>
        <v>0.2</v>
      </c>
      <c r="D28" s="281">
        <f>SQRT(B28^2+$D$5^2)</f>
        <v>4.643317779347005</v>
      </c>
      <c r="E28" s="281">
        <f>MIN(D28/6,4*C28)</f>
        <v>0.7738862965578343</v>
      </c>
      <c r="F28" s="281">
        <f>$D$5/B28</f>
        <v>1.5476190476190477</v>
      </c>
      <c r="G28" s="280">
        <v>3.48</v>
      </c>
      <c r="H28" s="281">
        <f>G28*$D$6/100</f>
        <v>0.41412</v>
      </c>
      <c r="I28" s="281">
        <f>$D$5*H28/B28</f>
        <v>0.6409</v>
      </c>
      <c r="J28" s="281">
        <f>SQRT(I28^2+H28^2)</f>
        <v>0.7630518884060244</v>
      </c>
      <c r="K28" s="282">
        <f>J28/100/(C28*E28)</f>
        <v>0.04929999999999999</v>
      </c>
      <c r="L28" s="283" t="str">
        <f>IF(K28&lt;=$D$7,"OK","pas bon")</f>
        <v>OK</v>
      </c>
      <c r="M28" s="283">
        <f>IF(OR(F28&lt;=0.5,F28&gt;=2),"glissement","")</f>
      </c>
    </row>
    <row r="29" spans="1:13" s="267" customFormat="1" ht="12.75">
      <c r="A29" s="296" t="str">
        <f t="shared" si="9"/>
        <v>V2</v>
      </c>
      <c r="B29" s="297">
        <f t="shared" si="9"/>
        <v>4.67</v>
      </c>
      <c r="C29" s="297">
        <f t="shared" si="9"/>
        <v>0.2</v>
      </c>
      <c r="D29" s="286">
        <f aca="true" t="shared" si="10" ref="D29:D39">SQRT(B29^2+$D$5^2)</f>
        <v>6.084315902383767</v>
      </c>
      <c r="E29" s="286">
        <f aca="true" t="shared" si="11" ref="E29:E39">MIN(D29/6,4*C29)</f>
        <v>0.8</v>
      </c>
      <c r="F29" s="286">
        <f aca="true" t="shared" si="12" ref="F29:F39">$D$5/B29</f>
        <v>0.8351177730192719</v>
      </c>
      <c r="G29" s="285">
        <v>22.12</v>
      </c>
      <c r="H29" s="286">
        <f aca="true" t="shared" si="13" ref="H29:H39">G29*$D$6/100</f>
        <v>2.63228</v>
      </c>
      <c r="I29" s="286">
        <f aca="true" t="shared" si="14" ref="I29:I39">$D$5*H29/B29</f>
        <v>2.1982638115631694</v>
      </c>
      <c r="J29" s="286">
        <f aca="true" t="shared" si="15" ref="J29:J39">SQRT(I29^2+H29^2)</f>
        <v>3.429469606750909</v>
      </c>
      <c r="K29" s="287">
        <f aca="true" t="shared" si="16" ref="K29:K39">J29/100/(C29*E29)</f>
        <v>0.2143418504219318</v>
      </c>
      <c r="L29" s="288" t="str">
        <f aca="true" t="shared" si="17" ref="L29:L39">IF(K29&lt;=$D$7,"OK","pas bon")</f>
        <v>OK</v>
      </c>
      <c r="M29" s="288">
        <f aca="true" t="shared" si="18" ref="M29:M39">IF(OR(F29&lt;=0.5,F29&gt;=2),"glissement","")</f>
      </c>
    </row>
    <row r="30" spans="1:13" s="267" customFormat="1" ht="12.75">
      <c r="A30" s="296" t="str">
        <f t="shared" si="9"/>
        <v>V3</v>
      </c>
      <c r="B30" s="297">
        <f t="shared" si="9"/>
        <v>3.71</v>
      </c>
      <c r="C30" s="297">
        <f t="shared" si="9"/>
        <v>0.15</v>
      </c>
      <c r="D30" s="286">
        <f t="shared" si="10"/>
        <v>5.38275951534155</v>
      </c>
      <c r="E30" s="286">
        <f t="shared" si="11"/>
        <v>0.6</v>
      </c>
      <c r="F30" s="286">
        <f t="shared" si="12"/>
        <v>1.0512129380053907</v>
      </c>
      <c r="G30" s="285">
        <v>8.67</v>
      </c>
      <c r="H30" s="286">
        <f t="shared" si="13"/>
        <v>1.03173</v>
      </c>
      <c r="I30" s="286">
        <f t="shared" si="14"/>
        <v>1.084567924528302</v>
      </c>
      <c r="J30" s="286">
        <f t="shared" si="15"/>
        <v>1.4969149527663983</v>
      </c>
      <c r="K30" s="287">
        <f t="shared" si="16"/>
        <v>0.16632388364071093</v>
      </c>
      <c r="L30" s="288" t="str">
        <f t="shared" si="17"/>
        <v>OK</v>
      </c>
      <c r="M30" s="288">
        <f t="shared" si="18"/>
      </c>
    </row>
    <row r="31" spans="1:13" s="267" customFormat="1" ht="12.75">
      <c r="A31" s="296" t="str">
        <f t="shared" si="9"/>
        <v>V4</v>
      </c>
      <c r="B31" s="297">
        <f t="shared" si="9"/>
        <v>4.34</v>
      </c>
      <c r="C31" s="297">
        <f t="shared" si="9"/>
        <v>0.15</v>
      </c>
      <c r="D31" s="286">
        <f t="shared" si="10"/>
        <v>5.8348607524087495</v>
      </c>
      <c r="E31" s="286">
        <f t="shared" si="11"/>
        <v>0.6</v>
      </c>
      <c r="F31" s="286">
        <f t="shared" si="12"/>
        <v>0.8986175115207373</v>
      </c>
      <c r="G31" s="285">
        <v>13.89</v>
      </c>
      <c r="H31" s="286">
        <f t="shared" si="13"/>
        <v>1.6529100000000003</v>
      </c>
      <c r="I31" s="286">
        <f t="shared" si="14"/>
        <v>1.4853338709677424</v>
      </c>
      <c r="J31" s="286">
        <f t="shared" si="15"/>
        <v>2.222234950752062</v>
      </c>
      <c r="K31" s="287">
        <f t="shared" si="16"/>
        <v>0.2469149945280069</v>
      </c>
      <c r="L31" s="288" t="str">
        <f t="shared" si="17"/>
        <v>OK</v>
      </c>
      <c r="M31" s="288">
        <f t="shared" si="18"/>
      </c>
    </row>
    <row r="32" spans="1:13" s="267" customFormat="1" ht="12.75">
      <c r="A32" s="296" t="str">
        <f t="shared" si="9"/>
        <v>V5</v>
      </c>
      <c r="B32" s="297">
        <f t="shared" si="9"/>
        <v>4.34</v>
      </c>
      <c r="C32" s="297">
        <f t="shared" si="9"/>
        <v>0.15</v>
      </c>
      <c r="D32" s="286">
        <f t="shared" si="10"/>
        <v>5.8348607524087495</v>
      </c>
      <c r="E32" s="286">
        <f t="shared" si="11"/>
        <v>0.6</v>
      </c>
      <c r="F32" s="286">
        <f t="shared" si="12"/>
        <v>0.8986175115207373</v>
      </c>
      <c r="G32" s="285">
        <v>14.31</v>
      </c>
      <c r="H32" s="286">
        <f t="shared" si="13"/>
        <v>1.7028900000000002</v>
      </c>
      <c r="I32" s="286">
        <f t="shared" si="14"/>
        <v>1.5302467741935486</v>
      </c>
      <c r="J32" s="286">
        <f t="shared" si="15"/>
        <v>2.2894299600620593</v>
      </c>
      <c r="K32" s="287">
        <f t="shared" si="16"/>
        <v>0.2543811066735622</v>
      </c>
      <c r="L32" s="288" t="str">
        <f t="shared" si="17"/>
        <v>OK</v>
      </c>
      <c r="M32" s="288">
        <f t="shared" si="18"/>
      </c>
    </row>
    <row r="33" spans="1:13" s="267" customFormat="1" ht="12.75">
      <c r="A33" s="296" t="str">
        <f t="shared" si="9"/>
        <v>V6</v>
      </c>
      <c r="B33" s="297">
        <f t="shared" si="9"/>
        <v>3.71</v>
      </c>
      <c r="C33" s="297">
        <f t="shared" si="9"/>
        <v>0.15</v>
      </c>
      <c r="D33" s="286">
        <f t="shared" si="10"/>
        <v>5.38275951534155</v>
      </c>
      <c r="E33" s="286">
        <f t="shared" si="11"/>
        <v>0.6</v>
      </c>
      <c r="F33" s="286">
        <f t="shared" si="12"/>
        <v>1.0512129380053907</v>
      </c>
      <c r="G33" s="285">
        <v>8.94</v>
      </c>
      <c r="H33" s="286">
        <f t="shared" si="13"/>
        <v>1.06386</v>
      </c>
      <c r="I33" s="286">
        <f t="shared" si="14"/>
        <v>1.118343396226415</v>
      </c>
      <c r="J33" s="286">
        <f t="shared" si="15"/>
        <v>1.543531681399262</v>
      </c>
      <c r="K33" s="287">
        <f t="shared" si="16"/>
        <v>0.17150352015547354</v>
      </c>
      <c r="L33" s="288" t="str">
        <f t="shared" si="17"/>
        <v>OK</v>
      </c>
      <c r="M33" s="288">
        <f t="shared" si="18"/>
      </c>
    </row>
    <row r="34" spans="1:13" s="267" customFormat="1" ht="12.75">
      <c r="A34" s="296" t="str">
        <f t="shared" si="9"/>
        <v>V7</v>
      </c>
      <c r="B34" s="297">
        <f t="shared" si="9"/>
        <v>4.67</v>
      </c>
      <c r="C34" s="297">
        <f t="shared" si="9"/>
        <v>0.2</v>
      </c>
      <c r="D34" s="286">
        <f t="shared" si="10"/>
        <v>6.084315902383767</v>
      </c>
      <c r="E34" s="286">
        <f t="shared" si="11"/>
        <v>0.8</v>
      </c>
      <c r="F34" s="286">
        <f t="shared" si="12"/>
        <v>0.8351177730192719</v>
      </c>
      <c r="G34" s="285">
        <v>24.71</v>
      </c>
      <c r="H34" s="286">
        <f t="shared" si="13"/>
        <v>2.9404900000000005</v>
      </c>
      <c r="I34" s="286">
        <f t="shared" si="14"/>
        <v>2.4556554603854392</v>
      </c>
      <c r="J34" s="286">
        <f t="shared" si="15"/>
        <v>3.8310214277945285</v>
      </c>
      <c r="K34" s="287">
        <f t="shared" si="16"/>
        <v>0.239438839237158</v>
      </c>
      <c r="L34" s="288" t="str">
        <f t="shared" si="17"/>
        <v>OK</v>
      </c>
      <c r="M34" s="288">
        <f t="shared" si="18"/>
      </c>
    </row>
    <row r="35" spans="1:13" s="267" customFormat="1" ht="12.75">
      <c r="A35" s="296" t="str">
        <f t="shared" si="9"/>
        <v>V8</v>
      </c>
      <c r="B35" s="297">
        <f t="shared" si="9"/>
        <v>2.52</v>
      </c>
      <c r="C35" s="297">
        <f t="shared" si="9"/>
        <v>0.2</v>
      </c>
      <c r="D35" s="286">
        <f>SQRT(B35^2+$D$5^2)</f>
        <v>4.643317779347005</v>
      </c>
      <c r="E35" s="286">
        <f>MIN(D35/6,4*C35)</f>
        <v>0.7738862965578343</v>
      </c>
      <c r="F35" s="286">
        <f>$D$5/B35</f>
        <v>1.5476190476190477</v>
      </c>
      <c r="G35" s="285">
        <v>3.89</v>
      </c>
      <c r="H35" s="286">
        <f t="shared" si="13"/>
        <v>0.46291000000000004</v>
      </c>
      <c r="I35" s="286">
        <f>$D$5*H35/B35</f>
        <v>0.7164083333333333</v>
      </c>
      <c r="J35" s="286">
        <f>SQRT(I35^2+H35^2)</f>
        <v>0.8529516798561596</v>
      </c>
      <c r="K35" s="287">
        <f>J35/100/(C35*E35)</f>
        <v>0.05510833333333333</v>
      </c>
      <c r="L35" s="288" t="str">
        <f t="shared" si="17"/>
        <v>OK</v>
      </c>
      <c r="M35" s="288">
        <f t="shared" si="18"/>
      </c>
    </row>
    <row r="36" spans="1:13" s="267" customFormat="1" ht="12.75">
      <c r="A36" s="296" t="str">
        <f t="shared" si="9"/>
        <v>V9</v>
      </c>
      <c r="B36" s="297">
        <f t="shared" si="9"/>
        <v>11.14</v>
      </c>
      <c r="C36" s="297">
        <f t="shared" si="9"/>
        <v>0.2</v>
      </c>
      <c r="D36" s="286">
        <f>SQRT(B36^2+$D$5^2)</f>
        <v>11.802948784096287</v>
      </c>
      <c r="E36" s="286">
        <f>MIN(D36/6,4*C36)</f>
        <v>0.8</v>
      </c>
      <c r="F36" s="286">
        <f>$D$5/B36</f>
        <v>0.35008976660682223</v>
      </c>
      <c r="G36" s="285">
        <v>-7.58</v>
      </c>
      <c r="H36" s="286">
        <f t="shared" si="13"/>
        <v>-0.9020199999999999</v>
      </c>
      <c r="I36" s="286">
        <f>$D$5*H36/B36</f>
        <v>-0.3157879712746858</v>
      </c>
      <c r="J36" s="286">
        <f>SQRT(I36^2+H36^2)</f>
        <v>0.9556998080996886</v>
      </c>
      <c r="K36" s="287">
        <f>J36/100/(C36*E36)</f>
        <v>0.05973123800623052</v>
      </c>
      <c r="L36" s="288" t="str">
        <f t="shared" si="17"/>
        <v>OK</v>
      </c>
      <c r="M36" s="288" t="str">
        <f t="shared" si="18"/>
        <v>glissement</v>
      </c>
    </row>
    <row r="37" spans="1:13" s="267" customFormat="1" ht="12.75">
      <c r="A37" s="296" t="str">
        <f t="shared" si="9"/>
        <v>V10</v>
      </c>
      <c r="B37" s="297">
        <f t="shared" si="9"/>
        <v>14.44</v>
      </c>
      <c r="C37" s="297">
        <f t="shared" si="9"/>
        <v>0.2</v>
      </c>
      <c r="D37" s="286">
        <f>SQRT(B37^2+$D$5^2)</f>
        <v>14.957392820943094</v>
      </c>
      <c r="E37" s="286">
        <f>MIN(D37/6,4*C37)</f>
        <v>0.8</v>
      </c>
      <c r="F37" s="286">
        <f>$D$5/B37</f>
        <v>0.2700831024930748</v>
      </c>
      <c r="G37" s="285">
        <v>-16.52</v>
      </c>
      <c r="H37" s="286">
        <f t="shared" si="13"/>
        <v>-1.9658799999999998</v>
      </c>
      <c r="I37" s="286">
        <f>$D$5*H37/B37</f>
        <v>-0.5309509695290858</v>
      </c>
      <c r="J37" s="286">
        <f>SQRT(I37^2+H37^2)</f>
        <v>2.0363185179249035</v>
      </c>
      <c r="K37" s="287">
        <f>J37/100/(C37*E37)</f>
        <v>0.12726990737030644</v>
      </c>
      <c r="L37" s="288" t="str">
        <f t="shared" si="17"/>
        <v>OK</v>
      </c>
      <c r="M37" s="288" t="str">
        <f t="shared" si="18"/>
        <v>glissement</v>
      </c>
    </row>
    <row r="38" spans="1:13" s="267" customFormat="1" ht="12.75">
      <c r="A38" s="296" t="str">
        <f aca="true" t="shared" si="19" ref="A38:C39">A22</f>
        <v>V11</v>
      </c>
      <c r="B38" s="297">
        <f t="shared" si="19"/>
        <v>18.11</v>
      </c>
      <c r="C38" s="297">
        <f t="shared" si="19"/>
        <v>0.2</v>
      </c>
      <c r="D38" s="286">
        <f>SQRT(B38^2+$D$5^2)</f>
        <v>18.52517476300831</v>
      </c>
      <c r="E38" s="286">
        <f>MIN(D38/6,4*C38)</f>
        <v>0.8</v>
      </c>
      <c r="F38" s="286">
        <f>$D$5/B38</f>
        <v>0.21535063500828272</v>
      </c>
      <c r="G38" s="285">
        <v>19.55</v>
      </c>
      <c r="H38" s="286">
        <f t="shared" si="13"/>
        <v>2.32645</v>
      </c>
      <c r="I38" s="286">
        <f>$D$5*H38/B38</f>
        <v>0.5010024848150193</v>
      </c>
      <c r="J38" s="286">
        <f>SQRT(I38^2+H38^2)</f>
        <v>2.3797842533076023</v>
      </c>
      <c r="K38" s="287">
        <f>J38/100/(C38*E38)</f>
        <v>0.14873651583172512</v>
      </c>
      <c r="L38" s="288" t="str">
        <f t="shared" si="17"/>
        <v>OK</v>
      </c>
      <c r="M38" s="288" t="str">
        <f t="shared" si="18"/>
        <v>glissement</v>
      </c>
    </row>
    <row r="39" spans="1:13" s="267" customFormat="1" ht="13.5" thickBot="1">
      <c r="A39" s="298" t="str">
        <f t="shared" si="19"/>
        <v>V12</v>
      </c>
      <c r="B39" s="299">
        <f t="shared" si="19"/>
        <v>11.14</v>
      </c>
      <c r="C39" s="299">
        <f t="shared" si="19"/>
        <v>0.2</v>
      </c>
      <c r="D39" s="291">
        <f t="shared" si="10"/>
        <v>11.802948784096287</v>
      </c>
      <c r="E39" s="291">
        <f t="shared" si="11"/>
        <v>0.8</v>
      </c>
      <c r="F39" s="291">
        <f t="shared" si="12"/>
        <v>0.35008976660682223</v>
      </c>
      <c r="G39" s="290">
        <v>4.55</v>
      </c>
      <c r="H39" s="291">
        <f t="shared" si="13"/>
        <v>0.54145</v>
      </c>
      <c r="I39" s="291">
        <f t="shared" si="14"/>
        <v>0.18955610412926388</v>
      </c>
      <c r="J39" s="291">
        <f t="shared" si="15"/>
        <v>0.5736720483975704</v>
      </c>
      <c r="K39" s="292">
        <f t="shared" si="16"/>
        <v>0.03585450302484814</v>
      </c>
      <c r="L39" s="293" t="str">
        <f t="shared" si="17"/>
        <v>OK</v>
      </c>
      <c r="M39" s="293" t="str">
        <f t="shared" si="18"/>
        <v>glissement</v>
      </c>
    </row>
    <row r="40" spans="6:8" s="267" customFormat="1" ht="12.75">
      <c r="F40" s="300"/>
      <c r="G40" s="301"/>
      <c r="H40" s="302"/>
    </row>
    <row r="41" s="267" customFormat="1" ht="12.75"/>
    <row r="42" s="267" customFormat="1" ht="15.75">
      <c r="A42" s="303" t="s">
        <v>381</v>
      </c>
    </row>
    <row r="43" s="267" customFormat="1" ht="12.75"/>
    <row r="44" s="267" customFormat="1" ht="12.75">
      <c r="B44" s="300" t="s">
        <v>382</v>
      </c>
    </row>
    <row r="45" s="267" customFormat="1" ht="12.75">
      <c r="B45" s="300" t="s">
        <v>383</v>
      </c>
    </row>
    <row r="46" s="267" customFormat="1" ht="13.5" thickBot="1"/>
    <row r="47" spans="1:3" s="267" customFormat="1" ht="25.5">
      <c r="A47" s="268" t="s">
        <v>356</v>
      </c>
      <c r="B47" s="271" t="s">
        <v>366</v>
      </c>
      <c r="C47" s="272" t="s">
        <v>367</v>
      </c>
    </row>
    <row r="48" spans="1:3" ht="13.5" thickBot="1">
      <c r="A48" s="274"/>
      <c r="B48" s="278"/>
      <c r="C48" s="219"/>
    </row>
    <row r="49" spans="1:3" ht="12.75">
      <c r="A49" s="294" t="str">
        <f>A28</f>
        <v>V1</v>
      </c>
      <c r="B49" s="282">
        <f>MAX(1*K12+0.3*K28,0.3*K12+1*K28)</f>
        <v>0.04997999999999999</v>
      </c>
      <c r="C49" s="283" t="str">
        <f aca="true" t="shared" si="20" ref="C49:C60">IF(B49&lt;=$D$7,"OK","pas bon")</f>
        <v>OK</v>
      </c>
    </row>
    <row r="50" spans="1:3" ht="12.75">
      <c r="A50" s="296" t="str">
        <f aca="true" t="shared" si="21" ref="A50:A60">A29</f>
        <v>V2</v>
      </c>
      <c r="B50" s="287">
        <f aca="true" t="shared" si="22" ref="B50:B60">MAX(1*K13+0.3*K29,0.3*K13+1*K29)</f>
        <v>0.21721976767217202</v>
      </c>
      <c r="C50" s="288" t="str">
        <f t="shared" si="20"/>
        <v>OK</v>
      </c>
    </row>
    <row r="51" spans="1:3" ht="12.75">
      <c r="A51" s="296" t="str">
        <f t="shared" si="21"/>
        <v>V3</v>
      </c>
      <c r="B51" s="287">
        <f t="shared" si="22"/>
        <v>0.16689939880901788</v>
      </c>
      <c r="C51" s="288" t="str">
        <f t="shared" si="20"/>
        <v>OK</v>
      </c>
    </row>
    <row r="52" spans="1:3" ht="12.75">
      <c r="A52" s="296" t="str">
        <f t="shared" si="21"/>
        <v>V4</v>
      </c>
      <c r="B52" s="287">
        <f t="shared" si="22"/>
        <v>0.24776826448749892</v>
      </c>
      <c r="C52" s="288" t="str">
        <f t="shared" si="20"/>
        <v>OK</v>
      </c>
    </row>
    <row r="53" spans="1:3" ht="12.75">
      <c r="A53" s="296" t="str">
        <f t="shared" si="21"/>
        <v>V5</v>
      </c>
      <c r="B53" s="287">
        <f t="shared" si="22"/>
        <v>0.2552343766330542</v>
      </c>
      <c r="C53" s="288" t="str">
        <f t="shared" si="20"/>
        <v>OK</v>
      </c>
    </row>
    <row r="54" spans="1:3" ht="12.75">
      <c r="A54" s="296" t="str">
        <f t="shared" si="21"/>
        <v>V6</v>
      </c>
      <c r="B54" s="287">
        <f t="shared" si="22"/>
        <v>0.1720790353237805</v>
      </c>
      <c r="C54" s="288" t="str">
        <f t="shared" si="20"/>
        <v>OK</v>
      </c>
    </row>
    <row r="55" spans="1:3" ht="12.75">
      <c r="A55" s="296" t="str">
        <f t="shared" si="21"/>
        <v>V7</v>
      </c>
      <c r="B55" s="287">
        <f t="shared" si="22"/>
        <v>0.24231675648739823</v>
      </c>
      <c r="C55" s="288" t="str">
        <f t="shared" si="20"/>
        <v>OK</v>
      </c>
    </row>
    <row r="56" spans="1:3" ht="12.75">
      <c r="A56" s="296" t="str">
        <f t="shared" si="21"/>
        <v>V8</v>
      </c>
      <c r="B56" s="287">
        <f t="shared" si="22"/>
        <v>0.05578833333333333</v>
      </c>
      <c r="C56" s="288" t="str">
        <f t="shared" si="20"/>
        <v>OK</v>
      </c>
    </row>
    <row r="57" spans="1:3" ht="12.75">
      <c r="A57" s="296" t="str">
        <f t="shared" si="21"/>
        <v>V9</v>
      </c>
      <c r="B57" s="287">
        <f t="shared" si="22"/>
        <v>0.1568457204849621</v>
      </c>
      <c r="C57" s="288" t="str">
        <f t="shared" si="20"/>
        <v>OK</v>
      </c>
    </row>
    <row r="58" spans="1:3" ht="12.75">
      <c r="A58" s="296" t="str">
        <f t="shared" si="21"/>
        <v>V10</v>
      </c>
      <c r="B58" s="287">
        <f t="shared" si="22"/>
        <v>0.3340141709411021</v>
      </c>
      <c r="C58" s="288" t="str">
        <f t="shared" si="20"/>
        <v>OK</v>
      </c>
    </row>
    <row r="59" spans="1:3" ht="12.75">
      <c r="A59" s="296" t="str">
        <f t="shared" si="21"/>
        <v>V11</v>
      </c>
      <c r="B59" s="287">
        <f t="shared" si="22"/>
        <v>0.3159985260905731</v>
      </c>
      <c r="C59" s="288" t="str">
        <f t="shared" si="20"/>
        <v>OK</v>
      </c>
    </row>
    <row r="60" spans="1:3" ht="13.5" thickBot="1">
      <c r="A60" s="298" t="str">
        <f t="shared" si="21"/>
        <v>V12</v>
      </c>
      <c r="B60" s="292">
        <f t="shared" si="22"/>
        <v>0.0761612685132214</v>
      </c>
      <c r="C60" s="293" t="str">
        <f t="shared" si="20"/>
        <v>OK</v>
      </c>
    </row>
  </sheetData>
  <mergeCells count="1">
    <mergeCell ref="A1:L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9" r:id="rId1"/>
  <headerFooter alignWithMargins="0">
    <oddHeader>&amp;LLD COM&amp;C&amp;"Arial,Gras"&amp;14SITE DE CAEN&amp;R&amp;D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2003-02-07T12:30:52Z</cp:lastPrinted>
  <dcterms:created xsi:type="dcterms:W3CDTF">2000-07-27T12:13:35Z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