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9320" windowHeight="10770" activeTab="0"/>
  </bookViews>
  <sheets>
    <sheet name="Feuil1" sheetId="1" r:id="rId1"/>
  </sheets>
  <definedNames>
    <definedName name="dec">'Feuil1'!$Y$11</definedName>
    <definedName name="eso">'Feuil1'!$T$22</definedName>
    <definedName name="_xlnm.Print_Area" localSheetId="0">'Feuil1'!$A$1:$P$195</definedName>
  </definedNames>
  <calcPr fullCalcOnLoad="1"/>
</workbook>
</file>

<file path=xl/comments1.xml><?xml version="1.0" encoding="utf-8"?>
<comments xmlns="http://schemas.openxmlformats.org/spreadsheetml/2006/main">
  <authors>
    <author>mactho1</author>
  </authors>
  <commentList>
    <comment ref="B12" authorId="0">
      <text>
        <r>
          <rPr>
            <b/>
            <sz val="9"/>
            <rFont val="Tahoma"/>
            <family val="0"/>
          </rPr>
          <t>=1 pour prise en compte de la butée sur la hauteur h</t>
        </r>
        <r>
          <rPr>
            <b/>
            <vertAlign val="subscript"/>
            <sz val="9"/>
            <rFont val="Tahoma"/>
            <family val="2"/>
          </rPr>
          <t>2</t>
        </r>
        <r>
          <rPr>
            <b/>
            <sz val="9"/>
            <rFont val="Tahoma"/>
            <family val="0"/>
          </rPr>
          <t xml:space="preserve">
=0 pour non prise en compte de cette butée 
</t>
        </r>
      </text>
    </comment>
    <comment ref="B19" authorId="0">
      <text>
        <r>
          <rPr>
            <b/>
            <sz val="9"/>
            <rFont val="Tahoma"/>
            <family val="0"/>
          </rPr>
          <t>en général : 1,1</t>
        </r>
      </text>
    </comment>
    <comment ref="C72" authorId="0">
      <text>
        <r>
          <rPr>
            <b/>
            <sz val="9"/>
            <rFont val="Tahoma"/>
            <family val="0"/>
          </rPr>
          <t>maxi = pondérés par les coefficients
mini = non pondérés</t>
        </r>
        <r>
          <rPr>
            <sz val="9"/>
            <rFont val="Tahoma"/>
            <family val="0"/>
          </rPr>
          <t xml:space="preserve">
</t>
        </r>
      </text>
    </comment>
    <comment ref="M70" authorId="0">
      <text>
        <r>
          <rPr>
            <b/>
            <sz val="9"/>
            <rFont val="Tahoma"/>
            <family val="2"/>
          </rPr>
          <t>L</t>
        </r>
        <r>
          <rPr>
            <b/>
            <vertAlign val="subscript"/>
            <sz val="9"/>
            <rFont val="Tahoma"/>
            <family val="2"/>
          </rPr>
          <t>c</t>
        </r>
        <r>
          <rPr>
            <b/>
            <sz val="9"/>
            <rFont val="Tahoma"/>
            <family val="0"/>
          </rPr>
          <t xml:space="preserve"> = longueur de contact semelle-sol</t>
        </r>
      </text>
    </comment>
    <comment ref="L70" authorId="0">
      <text>
        <r>
          <rPr>
            <b/>
            <sz val="9"/>
            <rFont val="Tahoma"/>
            <family val="0"/>
          </rPr>
          <t xml:space="preserve">0,75 </t>
        </r>
        <r>
          <rPr>
            <b/>
            <sz val="9"/>
            <rFont val="Symbol"/>
            <family val="1"/>
          </rPr>
          <t>s</t>
        </r>
        <r>
          <rPr>
            <b/>
            <vertAlign val="subscript"/>
            <sz val="9"/>
            <rFont val="Tahoma"/>
            <family val="2"/>
          </rPr>
          <t>max</t>
        </r>
        <r>
          <rPr>
            <b/>
            <sz val="9"/>
            <rFont val="Tahoma"/>
            <family val="0"/>
          </rPr>
          <t xml:space="preserve"> + 0,25 </t>
        </r>
        <r>
          <rPr>
            <b/>
            <sz val="9"/>
            <rFont val="Symbol"/>
            <family val="1"/>
          </rPr>
          <t>s</t>
        </r>
        <r>
          <rPr>
            <b/>
            <vertAlign val="subscript"/>
            <sz val="9"/>
            <rFont val="Tahoma"/>
            <family val="2"/>
          </rPr>
          <t>min</t>
        </r>
        <r>
          <rPr>
            <sz val="9"/>
            <rFont val="Tahoma"/>
            <family val="0"/>
          </rPr>
          <t xml:space="preserve">
</t>
        </r>
      </text>
    </comment>
    <comment ref="Z95" authorId="0">
      <text>
        <r>
          <rPr>
            <b/>
            <sz val="9"/>
            <rFont val="Tahoma"/>
            <family val="2"/>
          </rPr>
          <t>L</t>
        </r>
        <r>
          <rPr>
            <b/>
            <vertAlign val="subscript"/>
            <sz val="9"/>
            <rFont val="Tahoma"/>
            <family val="2"/>
          </rPr>
          <t>c</t>
        </r>
        <r>
          <rPr>
            <b/>
            <sz val="9"/>
            <rFont val="Tahoma"/>
            <family val="0"/>
          </rPr>
          <t xml:space="preserve"> = longueur de contact semelle-sol</t>
        </r>
      </text>
    </comment>
    <comment ref="Z85" authorId="0">
      <text>
        <r>
          <rPr>
            <b/>
            <sz val="9"/>
            <rFont val="Tahoma"/>
            <family val="2"/>
          </rPr>
          <t>L</t>
        </r>
        <r>
          <rPr>
            <b/>
            <vertAlign val="subscript"/>
            <sz val="9"/>
            <rFont val="Tahoma"/>
            <family val="2"/>
          </rPr>
          <t>c</t>
        </r>
        <r>
          <rPr>
            <b/>
            <sz val="9"/>
            <rFont val="Tahoma"/>
            <family val="0"/>
          </rPr>
          <t xml:space="preserve"> = longueur de contact semelle-sol</t>
        </r>
      </text>
    </comment>
  </commentList>
</comments>
</file>

<file path=xl/sharedStrings.xml><?xml version="1.0" encoding="utf-8"?>
<sst xmlns="http://schemas.openxmlformats.org/spreadsheetml/2006/main" count="366" uniqueCount="199">
  <si>
    <t>N1</t>
  </si>
  <si>
    <t>N2</t>
  </si>
  <si>
    <t>N3</t>
  </si>
  <si>
    <t>N4</t>
  </si>
  <si>
    <t>N5</t>
  </si>
  <si>
    <t>Q</t>
  </si>
  <si>
    <t>b</t>
  </si>
  <si>
    <t>h</t>
  </si>
  <si>
    <t>P</t>
  </si>
  <si>
    <t>total</t>
  </si>
  <si>
    <t>r</t>
  </si>
  <si>
    <t>dist.</t>
  </si>
  <si>
    <t>dist./A</t>
  </si>
  <si>
    <r>
      <t>g</t>
    </r>
    <r>
      <rPr>
        <vertAlign val="subscript"/>
        <sz val="9"/>
        <rFont val="Arial"/>
        <family val="2"/>
      </rPr>
      <t>q</t>
    </r>
  </si>
  <si>
    <t>terre</t>
  </si>
  <si>
    <t>charge</t>
  </si>
  <si>
    <r>
      <t>kN/m</t>
    </r>
    <r>
      <rPr>
        <vertAlign val="superscript"/>
        <sz val="9"/>
        <rFont val="Arial"/>
        <family val="2"/>
      </rPr>
      <t>2</t>
    </r>
  </si>
  <si>
    <t>F</t>
  </si>
  <si>
    <r>
      <t>F</t>
    </r>
    <r>
      <rPr>
        <vertAlign val="subscript"/>
        <sz val="9"/>
        <rFont val="Arial"/>
        <family val="2"/>
      </rPr>
      <t>Ed</t>
    </r>
  </si>
  <si>
    <r>
      <t>M</t>
    </r>
    <r>
      <rPr>
        <vertAlign val="subscript"/>
        <sz val="9"/>
        <rFont val="Arial"/>
        <family val="2"/>
      </rPr>
      <t>Ed</t>
    </r>
  </si>
  <si>
    <t>nature</t>
  </si>
  <si>
    <t>formule</t>
  </si>
  <si>
    <t>kN</t>
  </si>
  <si>
    <t>m</t>
  </si>
  <si>
    <t>kNm</t>
  </si>
  <si>
    <t>p</t>
  </si>
  <si>
    <t>Sollicitations horizontales de poussée</t>
  </si>
  <si>
    <t>Sollicitations verticales de poids</t>
  </si>
  <si>
    <r>
      <t>g</t>
    </r>
    <r>
      <rPr>
        <vertAlign val="subscript"/>
        <sz val="9"/>
        <rFont val="Arial"/>
        <family val="2"/>
      </rPr>
      <t>g</t>
    </r>
  </si>
  <si>
    <t>Glissement</t>
  </si>
  <si>
    <t>Sollicitations horizontales de butée</t>
  </si>
  <si>
    <t>haut</t>
  </si>
  <si>
    <t>bas</t>
  </si>
  <si>
    <r>
      <t>g</t>
    </r>
    <r>
      <rPr>
        <vertAlign val="subscript"/>
        <sz val="9"/>
        <rFont val="Arial"/>
        <family val="2"/>
      </rPr>
      <t>q</t>
    </r>
    <r>
      <rPr>
        <sz val="9"/>
        <rFont val="Arial"/>
        <family val="0"/>
      </rPr>
      <t>.F</t>
    </r>
  </si>
  <si>
    <r>
      <t>g</t>
    </r>
    <r>
      <rPr>
        <vertAlign val="subscript"/>
        <sz val="9"/>
        <rFont val="Arial"/>
        <family val="2"/>
      </rPr>
      <t>q</t>
    </r>
    <r>
      <rPr>
        <sz val="9"/>
        <rFont val="Arial"/>
        <family val="0"/>
      </rPr>
      <t>.P</t>
    </r>
  </si>
  <si>
    <r>
      <t>M</t>
    </r>
    <r>
      <rPr>
        <vertAlign val="subscript"/>
        <sz val="9"/>
        <rFont val="Arial"/>
        <family val="2"/>
      </rPr>
      <t>A</t>
    </r>
  </si>
  <si>
    <r>
      <t>g</t>
    </r>
    <r>
      <rPr>
        <vertAlign val="subscript"/>
        <sz val="9"/>
        <rFont val="Arial"/>
        <family val="2"/>
      </rPr>
      <t>q</t>
    </r>
    <r>
      <rPr>
        <sz val="9"/>
        <rFont val="Arial"/>
        <family val="0"/>
      </rPr>
      <t>.M</t>
    </r>
    <r>
      <rPr>
        <vertAlign val="subscript"/>
        <sz val="9"/>
        <rFont val="Arial"/>
        <family val="2"/>
      </rPr>
      <t>A</t>
    </r>
  </si>
  <si>
    <t>cote</t>
  </si>
  <si>
    <r>
      <t>kN/m</t>
    </r>
    <r>
      <rPr>
        <vertAlign val="superscript"/>
        <sz val="9"/>
        <rFont val="Arial"/>
        <family val="2"/>
      </rPr>
      <t>3</t>
    </r>
  </si>
  <si>
    <t>butée haute négligée =0, sinon =1</t>
  </si>
  <si>
    <t>Charges permanentes seules</t>
  </si>
  <si>
    <t>angle de frottement interne</t>
  </si>
  <si>
    <r>
      <t>K</t>
    </r>
    <r>
      <rPr>
        <vertAlign val="subscript"/>
        <sz val="9"/>
        <rFont val="Arial"/>
        <family val="2"/>
      </rPr>
      <t>a</t>
    </r>
    <r>
      <rPr>
        <sz val="9"/>
        <rFont val="Arial"/>
        <family val="0"/>
      </rPr>
      <t>.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h</t>
    </r>
    <r>
      <rPr>
        <sz val="9"/>
        <rFont val="Arial"/>
        <family val="0"/>
      </rPr>
      <t>.H</t>
    </r>
  </si>
  <si>
    <r>
      <t>K</t>
    </r>
    <r>
      <rPr>
        <vertAlign val="subscript"/>
        <sz val="9"/>
        <rFont val="Arial"/>
        <family val="2"/>
      </rPr>
      <t>a</t>
    </r>
    <r>
      <rPr>
        <sz val="9"/>
        <rFont val="Arial"/>
        <family val="0"/>
      </rPr>
      <t>.q</t>
    </r>
  </si>
  <si>
    <r>
      <t>L</t>
    </r>
    <r>
      <rPr>
        <vertAlign val="subscript"/>
        <sz val="9"/>
        <rFont val="Arial"/>
        <family val="2"/>
      </rPr>
      <t>1</t>
    </r>
  </si>
  <si>
    <r>
      <t>L</t>
    </r>
    <r>
      <rPr>
        <vertAlign val="subscript"/>
        <sz val="9"/>
        <rFont val="Arial"/>
        <family val="2"/>
      </rPr>
      <t>2</t>
    </r>
  </si>
  <si>
    <r>
      <t>L</t>
    </r>
    <r>
      <rPr>
        <vertAlign val="subscript"/>
        <sz val="9"/>
        <rFont val="Arial"/>
        <family val="2"/>
      </rPr>
      <t>3</t>
    </r>
  </si>
  <si>
    <r>
      <t>h</t>
    </r>
    <r>
      <rPr>
        <vertAlign val="subscript"/>
        <sz val="9"/>
        <rFont val="Arial"/>
        <family val="2"/>
      </rPr>
      <t>1</t>
    </r>
  </si>
  <si>
    <r>
      <t>h</t>
    </r>
    <r>
      <rPr>
        <vertAlign val="subscript"/>
        <sz val="9"/>
        <rFont val="Arial"/>
        <family val="2"/>
      </rPr>
      <t>2</t>
    </r>
  </si>
  <si>
    <r>
      <t>h</t>
    </r>
    <r>
      <rPr>
        <vertAlign val="subscript"/>
        <sz val="9"/>
        <rFont val="Arial"/>
        <family val="2"/>
      </rPr>
      <t>3</t>
    </r>
  </si>
  <si>
    <r>
      <t>h</t>
    </r>
    <r>
      <rPr>
        <vertAlign val="subscript"/>
        <sz val="9"/>
        <rFont val="Arial"/>
        <family val="2"/>
      </rPr>
      <t>4</t>
    </r>
  </si>
  <si>
    <r>
      <t>h</t>
    </r>
    <r>
      <rPr>
        <vertAlign val="subscript"/>
        <sz val="9"/>
        <rFont val="Arial"/>
        <family val="2"/>
      </rPr>
      <t>5</t>
    </r>
  </si>
  <si>
    <t>L</t>
  </si>
  <si>
    <t>H</t>
  </si>
  <si>
    <r>
      <t>g</t>
    </r>
    <r>
      <rPr>
        <vertAlign val="subscript"/>
        <sz val="9"/>
        <rFont val="Arial"/>
        <family val="2"/>
      </rPr>
      <t>h</t>
    </r>
  </si>
  <si>
    <t>q</t>
  </si>
  <si>
    <r>
      <t>kN/m</t>
    </r>
    <r>
      <rPr>
        <vertAlign val="superscript"/>
        <sz val="9"/>
        <rFont val="Arial"/>
        <family val="2"/>
      </rPr>
      <t>3</t>
    </r>
  </si>
  <si>
    <t>j</t>
  </si>
  <si>
    <t>°</t>
  </si>
  <si>
    <t>rd</t>
  </si>
  <si>
    <r>
      <t>(Poussée-Butée)</t>
    </r>
    <r>
      <rPr>
        <vertAlign val="subscript"/>
        <sz val="9"/>
        <rFont val="Arial"/>
        <family val="2"/>
      </rPr>
      <t>pondéré</t>
    </r>
  </si>
  <si>
    <t>poussée pondérée P</t>
  </si>
  <si>
    <t>butée pondérée B</t>
  </si>
  <si>
    <r>
      <t>poids non pondéré N</t>
    </r>
    <r>
      <rPr>
        <vertAlign val="subscript"/>
        <sz val="9"/>
        <rFont val="Arial"/>
        <family val="2"/>
      </rPr>
      <t>Ed</t>
    </r>
  </si>
  <si>
    <t>pour q =</t>
  </si>
  <si>
    <r>
      <t>1/K</t>
    </r>
    <r>
      <rPr>
        <vertAlign val="subscript"/>
        <sz val="9"/>
        <rFont val="Arial"/>
        <family val="2"/>
      </rPr>
      <t>p</t>
    </r>
    <r>
      <rPr>
        <sz val="9"/>
        <rFont val="Arial"/>
        <family val="0"/>
      </rPr>
      <t>.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h</t>
    </r>
    <r>
      <rPr>
        <sz val="9"/>
        <rFont val="Arial"/>
        <family val="0"/>
      </rPr>
      <t>.h</t>
    </r>
  </si>
  <si>
    <r>
      <t>g</t>
    </r>
    <r>
      <rPr>
        <vertAlign val="subscript"/>
        <sz val="9"/>
        <rFont val="Arial"/>
        <family val="2"/>
      </rPr>
      <t>R,h</t>
    </r>
  </si>
  <si>
    <r>
      <t>kN/m</t>
    </r>
    <r>
      <rPr>
        <vertAlign val="superscript"/>
        <sz val="9"/>
        <rFont val="Arial"/>
        <family val="2"/>
      </rPr>
      <t>2</t>
    </r>
  </si>
  <si>
    <t>&lt; 1 ?</t>
  </si>
  <si>
    <t>Données</t>
  </si>
  <si>
    <r>
      <t>K</t>
    </r>
    <r>
      <rPr>
        <vertAlign val="subscript"/>
        <sz val="9"/>
        <rFont val="Arial"/>
        <family val="2"/>
      </rPr>
      <t>a</t>
    </r>
  </si>
  <si>
    <r>
      <t>K</t>
    </r>
    <r>
      <rPr>
        <vertAlign val="subscript"/>
        <sz val="9"/>
        <rFont val="Arial"/>
        <family val="2"/>
      </rPr>
      <t>p</t>
    </r>
  </si>
  <si>
    <t>coefficient de poussée</t>
  </si>
  <si>
    <t>coefficient de butée</t>
  </si>
  <si>
    <t>Mur de soutènement</t>
  </si>
  <si>
    <t>longueur semelle avant</t>
  </si>
  <si>
    <t>longueur semelle arrière</t>
  </si>
  <si>
    <t>épaisseur semelle avant</t>
  </si>
  <si>
    <t>hauteur de terre aval</t>
  </si>
  <si>
    <t>épaisseur semelle arrière</t>
  </si>
  <si>
    <t>hauteur de terre amont</t>
  </si>
  <si>
    <t>poids volumique du sol</t>
  </si>
  <si>
    <t>d°</t>
  </si>
  <si>
    <t>poids volumique du béton</t>
  </si>
  <si>
    <t>charge sur la surface de terrain amont</t>
  </si>
  <si>
    <t>coeff. major. des charges permanentes</t>
  </si>
  <si>
    <t>coeff. major. des charges variables</t>
  </si>
  <si>
    <t>coefficient de sécurité au glissement</t>
  </si>
  <si>
    <t>longueur de la semelle</t>
  </si>
  <si>
    <t>hauteur visible du mur côté aval</t>
  </si>
  <si>
    <t>hauteur totale du mur</t>
  </si>
  <si>
    <t>Résultats</t>
  </si>
  <si>
    <t>poussée</t>
  </si>
  <si>
    <t>poids</t>
  </si>
  <si>
    <t>maxi</t>
  </si>
  <si>
    <t>mini</t>
  </si>
  <si>
    <t>N</t>
  </si>
  <si>
    <r>
      <t>s</t>
    </r>
    <r>
      <rPr>
        <vertAlign val="subscript"/>
        <sz val="9"/>
        <rFont val="Arial"/>
        <family val="2"/>
      </rPr>
      <t>1</t>
    </r>
  </si>
  <si>
    <r>
      <t>s</t>
    </r>
    <r>
      <rPr>
        <vertAlign val="subscript"/>
        <sz val="9"/>
        <rFont val="Arial"/>
        <family val="2"/>
      </rPr>
      <t>2</t>
    </r>
  </si>
  <si>
    <r>
      <t>L</t>
    </r>
    <r>
      <rPr>
        <vertAlign val="subscript"/>
        <sz val="9"/>
        <rFont val="Arial"/>
        <family val="2"/>
      </rPr>
      <t>c</t>
    </r>
  </si>
  <si>
    <r>
      <t>s</t>
    </r>
  </si>
  <si>
    <r>
      <t>e</t>
    </r>
    <r>
      <rPr>
        <vertAlign val="subscript"/>
        <sz val="9"/>
        <rFont val="Arial"/>
        <family val="2"/>
      </rPr>
      <t>A</t>
    </r>
  </si>
  <si>
    <t>&lt;1/6 ?</t>
  </si>
  <si>
    <t>MPa</t>
  </si>
  <si>
    <r>
      <t>s</t>
    </r>
    <r>
      <rPr>
        <vertAlign val="subscript"/>
        <sz val="9"/>
        <rFont val="Arial"/>
        <family val="2"/>
      </rPr>
      <t>pondé</t>
    </r>
  </si>
  <si>
    <t xml:space="preserve">  selon Meyerhof</t>
  </si>
  <si>
    <t>Contraintes maxi  ELU</t>
  </si>
  <si>
    <r>
      <t>s</t>
    </r>
    <r>
      <rPr>
        <vertAlign val="subscript"/>
        <sz val="9"/>
        <rFont val="Arial"/>
        <family val="2"/>
      </rPr>
      <t>max</t>
    </r>
  </si>
  <si>
    <r>
      <t>s</t>
    </r>
    <r>
      <rPr>
        <vertAlign val="subscript"/>
        <sz val="9"/>
        <rFont val="Arial"/>
        <family val="2"/>
      </rPr>
      <t>max,pond</t>
    </r>
  </si>
  <si>
    <t>Poids</t>
  </si>
  <si>
    <t>Moments dus à</t>
  </si>
  <si>
    <t xml:space="preserve">  Excentricités</t>
  </si>
  <si>
    <t>Contraintes selon Navier</t>
  </si>
  <si>
    <t>kPa</t>
  </si>
  <si>
    <t>Glissement :</t>
  </si>
  <si>
    <t xml:space="preserve">Contrainte maxi : </t>
  </si>
  <si>
    <t>Etude du fût</t>
  </si>
  <si>
    <r>
      <t>h</t>
    </r>
    <r>
      <rPr>
        <vertAlign val="subscript"/>
        <sz val="9"/>
        <rFont val="Arial"/>
        <family val="2"/>
      </rPr>
      <t>6</t>
    </r>
  </si>
  <si>
    <t>L'auteur n'est</t>
  </si>
  <si>
    <t>pas responsable</t>
  </si>
  <si>
    <t>de l'usage fait</t>
  </si>
  <si>
    <t>de ce programme</t>
  </si>
  <si>
    <t>H. Thonier</t>
  </si>
  <si>
    <t>c</t>
  </si>
  <si>
    <t>mm</t>
  </si>
  <si>
    <t>enrobage à l'axe des armatures</t>
  </si>
  <si>
    <r>
      <t>f</t>
    </r>
    <r>
      <rPr>
        <vertAlign val="subscript"/>
        <sz val="9"/>
        <rFont val="Arial"/>
        <family val="2"/>
      </rPr>
      <t>ck</t>
    </r>
  </si>
  <si>
    <r>
      <t>f</t>
    </r>
    <r>
      <rPr>
        <vertAlign val="subscript"/>
        <sz val="9"/>
        <rFont val="Arial"/>
        <family val="2"/>
      </rPr>
      <t>yk</t>
    </r>
  </si>
  <si>
    <t>résistance du béton</t>
  </si>
  <si>
    <t>limite élastique des aciers</t>
  </si>
  <si>
    <r>
      <t>g</t>
    </r>
    <r>
      <rPr>
        <vertAlign val="subscript"/>
        <sz val="9"/>
        <rFont val="Arial"/>
        <family val="2"/>
      </rPr>
      <t>c</t>
    </r>
  </si>
  <si>
    <r>
      <t>g</t>
    </r>
    <r>
      <rPr>
        <vertAlign val="subscript"/>
        <sz val="9"/>
        <rFont val="Arial"/>
        <family val="2"/>
      </rPr>
      <t>s</t>
    </r>
  </si>
  <si>
    <r>
      <t>f</t>
    </r>
    <r>
      <rPr>
        <vertAlign val="subscript"/>
        <sz val="9"/>
        <rFont val="Arial"/>
        <family val="2"/>
      </rPr>
      <t>cd</t>
    </r>
  </si>
  <si>
    <r>
      <t>f</t>
    </r>
    <r>
      <rPr>
        <vertAlign val="subscript"/>
        <sz val="9"/>
        <rFont val="Arial"/>
        <family val="2"/>
      </rPr>
      <t>yd</t>
    </r>
  </si>
  <si>
    <t>d</t>
  </si>
  <si>
    <t>&lt; 0,37 ?</t>
  </si>
  <si>
    <t>x</t>
  </si>
  <si>
    <r>
      <t>= 3,5(1-</t>
    </r>
    <r>
      <rPr>
        <sz val="9"/>
        <rFont val="Symbol"/>
        <family val="1"/>
      </rPr>
      <t>x</t>
    </r>
    <r>
      <rPr>
        <sz val="9"/>
        <rFont val="Arial"/>
        <family val="0"/>
      </rPr>
      <t>)/</t>
    </r>
    <r>
      <rPr>
        <sz val="9"/>
        <rFont val="Symbol"/>
        <family val="1"/>
      </rPr>
      <t>x</t>
    </r>
  </si>
  <si>
    <r>
      <t>e</t>
    </r>
    <r>
      <rPr>
        <vertAlign val="subscript"/>
        <sz val="9"/>
        <rFont val="Arial"/>
        <family val="2"/>
      </rPr>
      <t>s</t>
    </r>
  </si>
  <si>
    <r>
      <t>s</t>
    </r>
    <r>
      <rPr>
        <vertAlign val="subscript"/>
        <sz val="9"/>
        <rFont val="Arial"/>
        <family val="2"/>
      </rPr>
      <t>s</t>
    </r>
  </si>
  <si>
    <t>z</t>
  </si>
  <si>
    <r>
      <t>A</t>
    </r>
    <r>
      <rPr>
        <vertAlign val="subscript"/>
        <sz val="9"/>
        <rFont val="Arial"/>
        <family val="2"/>
      </rPr>
      <t>s</t>
    </r>
  </si>
  <si>
    <r>
      <t>cm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/m</t>
    </r>
  </si>
  <si>
    <r>
      <t>=</t>
    </r>
    <r>
      <rPr>
        <sz val="9"/>
        <rFont val="Symbol"/>
        <family val="1"/>
      </rPr>
      <t xml:space="preserve"> g</t>
    </r>
    <r>
      <rPr>
        <vertAlign val="subscript"/>
        <sz val="9"/>
        <rFont val="Arial"/>
        <family val="2"/>
      </rPr>
      <t>G</t>
    </r>
    <r>
      <rPr>
        <sz val="9"/>
        <rFont val="Arial"/>
        <family val="0"/>
      </rPr>
      <t>.(K</t>
    </r>
    <r>
      <rPr>
        <vertAlign val="subscript"/>
        <sz val="9"/>
        <rFont val="Arial"/>
        <family val="2"/>
      </rPr>
      <t>a</t>
    </r>
    <r>
      <rPr>
        <sz val="9"/>
        <rFont val="Arial"/>
        <family val="0"/>
      </rPr>
      <t>.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h</t>
    </r>
    <r>
      <rPr>
        <sz val="9"/>
        <rFont val="Arial"/>
        <family val="0"/>
      </rPr>
      <t>.h</t>
    </r>
    <r>
      <rPr>
        <vertAlign val="subscript"/>
        <sz val="9"/>
        <rFont val="Arial"/>
        <family val="2"/>
      </rPr>
      <t>6</t>
    </r>
    <r>
      <rPr>
        <sz val="9"/>
        <rFont val="Arial"/>
        <family val="0"/>
      </rPr>
      <t>).h</t>
    </r>
    <r>
      <rPr>
        <vertAlign val="subscript"/>
        <sz val="9"/>
        <rFont val="Arial"/>
        <family val="2"/>
      </rPr>
      <t>6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 xml:space="preserve">/6 + </t>
    </r>
    <r>
      <rPr>
        <sz val="9"/>
        <rFont val="Symbol"/>
        <family val="1"/>
      </rPr>
      <t>g</t>
    </r>
    <r>
      <rPr>
        <vertAlign val="subscript"/>
        <sz val="9"/>
        <rFont val="Arial"/>
        <family val="2"/>
      </rPr>
      <t>Q</t>
    </r>
    <r>
      <rPr>
        <sz val="9"/>
        <rFont val="Arial"/>
        <family val="0"/>
      </rPr>
      <t>.(K</t>
    </r>
    <r>
      <rPr>
        <vertAlign val="subscript"/>
        <sz val="9"/>
        <rFont val="Arial"/>
        <family val="2"/>
      </rPr>
      <t>a</t>
    </r>
    <r>
      <rPr>
        <sz val="9"/>
        <rFont val="Arial"/>
        <family val="0"/>
      </rPr>
      <t>.q).h</t>
    </r>
    <r>
      <rPr>
        <vertAlign val="subscript"/>
        <sz val="9"/>
        <rFont val="Arial"/>
        <family val="2"/>
      </rPr>
      <t>6</t>
    </r>
    <r>
      <rPr>
        <vertAlign val="superscript"/>
        <sz val="9"/>
        <rFont val="Arial"/>
        <family val="2"/>
      </rPr>
      <t>2</t>
    </r>
    <r>
      <rPr>
        <sz val="9"/>
        <rFont val="Arial"/>
        <family val="0"/>
      </rPr>
      <t>/2</t>
    </r>
  </si>
  <si>
    <r>
      <t xml:space="preserve">x </t>
    </r>
    <r>
      <rPr>
        <sz val="9"/>
        <rFont val="Arial"/>
        <family val="0"/>
      </rPr>
      <t>= x</t>
    </r>
    <r>
      <rPr>
        <vertAlign val="subscript"/>
        <sz val="9"/>
        <rFont val="Arial"/>
        <family val="2"/>
      </rPr>
      <t>u</t>
    </r>
    <r>
      <rPr>
        <sz val="9"/>
        <rFont val="Arial"/>
        <family val="0"/>
      </rPr>
      <t>/d=1,25[1-(1-2</t>
    </r>
    <r>
      <rPr>
        <sz val="9"/>
        <rFont val="Symbol"/>
        <family val="1"/>
      </rPr>
      <t>m</t>
    </r>
    <r>
      <rPr>
        <sz val="9"/>
        <rFont val="Arial"/>
        <family val="0"/>
      </rPr>
      <t>)</t>
    </r>
    <r>
      <rPr>
        <vertAlign val="superscript"/>
        <sz val="9"/>
        <rFont val="Arial"/>
        <family val="2"/>
      </rPr>
      <t>0,5</t>
    </r>
    <r>
      <rPr>
        <sz val="9"/>
        <rFont val="Arial"/>
        <family val="0"/>
      </rPr>
      <t>]</t>
    </r>
  </si>
  <si>
    <t>Semelle arrière</t>
  </si>
  <si>
    <r>
      <t>portée = Min[h</t>
    </r>
    <r>
      <rPr>
        <vertAlign val="subscript"/>
        <sz val="9"/>
        <rFont val="Arial"/>
        <family val="2"/>
      </rPr>
      <t xml:space="preserve">4 </t>
    </r>
    <r>
      <rPr>
        <sz val="9"/>
        <rFont val="Arial"/>
        <family val="0"/>
      </rPr>
      <t>; H-h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]</t>
    </r>
  </si>
  <si>
    <r>
      <t>= h</t>
    </r>
    <r>
      <rPr>
        <vertAlign val="subscript"/>
        <sz val="9"/>
        <rFont val="Arial"/>
        <family val="2"/>
      </rPr>
      <t>3</t>
    </r>
    <r>
      <rPr>
        <sz val="9"/>
        <rFont val="Arial"/>
        <family val="0"/>
      </rPr>
      <t xml:space="preserve"> - c</t>
    </r>
  </si>
  <si>
    <r>
      <t>= d.(1-0,4</t>
    </r>
    <r>
      <rPr>
        <sz val="9"/>
        <rFont val="Symbol"/>
        <family val="1"/>
      </rPr>
      <t>x</t>
    </r>
    <r>
      <rPr>
        <sz val="9"/>
        <rFont val="Arial"/>
        <family val="0"/>
      </rPr>
      <t>)</t>
    </r>
  </si>
  <si>
    <t>diagramme bi-linéaire</t>
  </si>
  <si>
    <r>
      <t>= M</t>
    </r>
    <r>
      <rPr>
        <vertAlign val="subscript"/>
        <sz val="9"/>
        <rFont val="Arial"/>
        <family val="2"/>
      </rPr>
      <t>Ed</t>
    </r>
    <r>
      <rPr>
        <sz val="9"/>
        <rFont val="Arial"/>
        <family val="0"/>
      </rPr>
      <t>/(z.</t>
    </r>
    <r>
      <rPr>
        <sz val="9"/>
        <rFont val="Symbol"/>
        <family val="1"/>
      </rPr>
      <t>s</t>
    </r>
    <r>
      <rPr>
        <vertAlign val="subscript"/>
        <sz val="9"/>
        <rFont val="Arial"/>
        <family val="2"/>
      </rPr>
      <t>s</t>
    </r>
    <r>
      <rPr>
        <sz val="9"/>
        <rFont val="Arial"/>
        <family val="0"/>
      </rPr>
      <t>)</t>
    </r>
  </si>
  <si>
    <t>Armatures fût :</t>
  </si>
  <si>
    <t>Armatures semelle arrière :</t>
  </si>
  <si>
    <r>
      <t xml:space="preserve">e </t>
    </r>
    <r>
      <rPr>
        <sz val="9"/>
        <rFont val="Arial"/>
        <family val="2"/>
      </rPr>
      <t>=e/L</t>
    </r>
  </si>
  <si>
    <t>semelles</t>
  </si>
  <si>
    <t>mur</t>
  </si>
  <si>
    <t>dec</t>
  </si>
  <si>
    <t>M</t>
  </si>
  <si>
    <t>cas</t>
  </si>
  <si>
    <r>
      <t>M</t>
    </r>
    <r>
      <rPr>
        <vertAlign val="subscript"/>
        <sz val="9"/>
        <rFont val="Arial"/>
        <family val="2"/>
      </rPr>
      <t>m</t>
    </r>
  </si>
  <si>
    <t>s</t>
  </si>
  <si>
    <t>semelle arrière</t>
  </si>
  <si>
    <t>semelle avant</t>
  </si>
  <si>
    <t>Semelle avant</t>
  </si>
  <si>
    <r>
      <t>= (N</t>
    </r>
    <r>
      <rPr>
        <vertAlign val="subscript"/>
        <sz val="9"/>
        <rFont val="Arial"/>
        <family val="2"/>
      </rPr>
      <t>4</t>
    </r>
    <r>
      <rPr>
        <sz val="9"/>
        <rFont val="Arial"/>
        <family val="0"/>
      </rPr>
      <t>+N</t>
    </r>
    <r>
      <rPr>
        <vertAlign val="subscript"/>
        <sz val="9"/>
        <rFont val="Arial"/>
        <family val="2"/>
      </rPr>
      <t>5</t>
    </r>
    <r>
      <rPr>
        <sz val="9"/>
        <rFont val="Arial"/>
        <family val="0"/>
      </rPr>
      <t>) .L</t>
    </r>
    <r>
      <rPr>
        <vertAlign val="subscript"/>
        <sz val="9"/>
        <rFont val="Arial"/>
        <family val="2"/>
      </rPr>
      <t>1</t>
    </r>
    <r>
      <rPr>
        <sz val="9"/>
        <rFont val="Arial"/>
        <family val="0"/>
      </rPr>
      <t>/2 = moment du poids des terres et semelle avant</t>
    </r>
  </si>
  <si>
    <r>
      <t>M</t>
    </r>
    <r>
      <rPr>
        <vertAlign val="subscript"/>
        <sz val="9"/>
        <rFont val="Arial"/>
        <family val="2"/>
      </rPr>
      <t>max</t>
    </r>
  </si>
  <si>
    <r>
      <t>L</t>
    </r>
    <r>
      <rPr>
        <vertAlign val="subscript"/>
        <sz val="9"/>
        <rFont val="Arial"/>
        <family val="2"/>
      </rPr>
      <t>0</t>
    </r>
  </si>
  <si>
    <r>
      <t>M</t>
    </r>
    <r>
      <rPr>
        <vertAlign val="subscript"/>
        <sz val="9"/>
        <rFont val="Arial"/>
        <family val="2"/>
      </rPr>
      <t>45</t>
    </r>
  </si>
  <si>
    <t>(signe + = armatures inférieures)</t>
  </si>
  <si>
    <t>Mpoids</t>
  </si>
  <si>
    <t>Mde contr</t>
  </si>
  <si>
    <t>arrondis</t>
  </si>
  <si>
    <t>&amp;N</t>
  </si>
  <si>
    <t>N4&amp;N5</t>
  </si>
  <si>
    <t>(signe - = armatures supérieures)</t>
  </si>
  <si>
    <r>
      <t>= M</t>
    </r>
    <r>
      <rPr>
        <vertAlign val="subscript"/>
        <sz val="9"/>
        <rFont val="Arial"/>
        <family val="2"/>
      </rPr>
      <t>m</t>
    </r>
    <r>
      <rPr>
        <sz val="9"/>
        <rFont val="Arial"/>
        <family val="0"/>
      </rPr>
      <t xml:space="preserve"> - M</t>
    </r>
    <r>
      <rPr>
        <vertAlign val="subscript"/>
        <sz val="9"/>
        <rFont val="Arial"/>
        <family val="2"/>
      </rPr>
      <t>45</t>
    </r>
  </si>
  <si>
    <t>Armatures semelle avant :</t>
  </si>
  <si>
    <t>Cas de</t>
  </si>
  <si>
    <r>
      <t>M</t>
    </r>
    <r>
      <rPr>
        <vertAlign val="subscript"/>
        <sz val="9"/>
        <rFont val="Arial"/>
        <family val="2"/>
      </rPr>
      <t>12Q</t>
    </r>
  </si>
  <si>
    <r>
      <t>= (N</t>
    </r>
    <r>
      <rPr>
        <vertAlign val="subscript"/>
        <sz val="9"/>
        <rFont val="Arial"/>
        <family val="2"/>
      </rPr>
      <t xml:space="preserve">1 </t>
    </r>
    <r>
      <rPr>
        <sz val="9"/>
        <rFont val="Arial"/>
        <family val="0"/>
      </rPr>
      <t>+ N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+ q</t>
    </r>
    <r>
      <rPr>
        <sz val="9"/>
        <rFont val="Arial"/>
        <family val="0"/>
      </rPr>
      <t>).L</t>
    </r>
    <r>
      <rPr>
        <vertAlign val="subscript"/>
        <sz val="9"/>
        <rFont val="Arial"/>
        <family val="2"/>
      </rPr>
      <t>3</t>
    </r>
    <r>
      <rPr>
        <sz val="9"/>
        <rFont val="Arial"/>
        <family val="0"/>
      </rPr>
      <t>/2 = moment du poids des terres et q</t>
    </r>
  </si>
  <si>
    <r>
      <t>= M</t>
    </r>
    <r>
      <rPr>
        <vertAlign val="subscript"/>
        <sz val="9"/>
        <rFont val="Arial"/>
        <family val="2"/>
      </rPr>
      <t>12Q</t>
    </r>
    <r>
      <rPr>
        <sz val="9"/>
        <rFont val="Arial"/>
        <family val="0"/>
      </rPr>
      <t xml:space="preserve"> - M</t>
    </r>
    <r>
      <rPr>
        <vertAlign val="subscript"/>
        <sz val="9"/>
        <rFont val="Arial"/>
        <family val="2"/>
      </rPr>
      <t>m</t>
    </r>
  </si>
  <si>
    <t>A</t>
  </si>
  <si>
    <t>classe</t>
  </si>
  <si>
    <t>classe acier A, B ou C</t>
  </si>
  <si>
    <t>k</t>
  </si>
  <si>
    <r>
      <t>e</t>
    </r>
    <r>
      <rPr>
        <vertAlign val="subscript"/>
        <sz val="9"/>
        <rFont val="Arial"/>
        <family val="2"/>
      </rPr>
      <t>uk</t>
    </r>
  </si>
  <si>
    <t>B</t>
  </si>
  <si>
    <t>C</t>
  </si>
  <si>
    <r>
      <t>e</t>
    </r>
    <r>
      <rPr>
        <vertAlign val="subscript"/>
        <sz val="9"/>
        <rFont val="Arial"/>
        <family val="2"/>
      </rPr>
      <t>s0</t>
    </r>
  </si>
  <si>
    <t xml:space="preserve">longueur chargée </t>
  </si>
  <si>
    <r>
      <t>L</t>
    </r>
    <r>
      <rPr>
        <vertAlign val="subscript"/>
        <sz val="9"/>
        <rFont val="Arial"/>
        <family val="2"/>
      </rPr>
      <t>a</t>
    </r>
  </si>
  <si>
    <r>
      <t>L</t>
    </r>
    <r>
      <rPr>
        <vertAlign val="subscript"/>
        <sz val="9"/>
        <rFont val="Arial"/>
        <family val="2"/>
      </rPr>
      <t>b</t>
    </r>
  </si>
  <si>
    <t>distance du milieu de la longueur chargée au nu du fût</t>
  </si>
  <si>
    <r>
      <t>= M</t>
    </r>
    <r>
      <rPr>
        <vertAlign val="subscript"/>
        <sz val="9"/>
        <rFont val="Arial"/>
        <family val="2"/>
      </rPr>
      <t xml:space="preserve">max </t>
    </r>
    <r>
      <rPr>
        <sz val="9"/>
        <rFont val="Arial"/>
        <family val="0"/>
      </rPr>
      <t xml:space="preserve">dû aux contraintes en sous-face  = </t>
    </r>
    <r>
      <rPr>
        <sz val="9"/>
        <rFont val="Symbol"/>
        <family val="1"/>
      </rPr>
      <t>s</t>
    </r>
    <r>
      <rPr>
        <sz val="9"/>
        <rFont val="Arial"/>
        <family val="0"/>
      </rPr>
      <t>.L</t>
    </r>
    <r>
      <rPr>
        <vertAlign val="subscript"/>
        <sz val="9"/>
        <rFont val="Arial"/>
        <family val="2"/>
      </rPr>
      <t>a.</t>
    </r>
    <r>
      <rPr>
        <sz val="9"/>
        <rFont val="Arial"/>
        <family val="0"/>
      </rPr>
      <t>L</t>
    </r>
    <r>
      <rPr>
        <vertAlign val="subscript"/>
        <sz val="9"/>
        <rFont val="Arial"/>
        <family val="2"/>
      </rPr>
      <t>b</t>
    </r>
  </si>
  <si>
    <r>
      <t>= 3,5(1-</t>
    </r>
    <r>
      <rPr>
        <sz val="9"/>
        <rFont val="Symbol"/>
        <family val="1"/>
      </rPr>
      <t>x</t>
    </r>
    <r>
      <rPr>
        <sz val="9"/>
        <rFont val="Arial"/>
        <family val="0"/>
      </rPr>
      <t>)/</t>
    </r>
    <r>
      <rPr>
        <sz val="9"/>
        <rFont val="Symbol"/>
        <family val="1"/>
      </rPr>
      <t>x</t>
    </r>
    <r>
      <rPr>
        <sz val="9"/>
        <rFont val="Arial"/>
        <family val="2"/>
      </rPr>
      <t xml:space="preserve"> </t>
    </r>
    <r>
      <rPr>
        <sz val="9"/>
        <rFont val="Symbol"/>
        <family val="1"/>
      </rPr>
      <t>£</t>
    </r>
    <r>
      <rPr>
        <sz val="9"/>
        <rFont val="Arial"/>
        <family val="2"/>
      </rPr>
      <t xml:space="preserve"> 0,9 </t>
    </r>
    <r>
      <rPr>
        <sz val="9"/>
        <rFont val="Symbol"/>
        <family val="1"/>
      </rPr>
      <t>e</t>
    </r>
    <r>
      <rPr>
        <vertAlign val="subscript"/>
        <sz val="9"/>
        <rFont val="Arial"/>
        <family val="2"/>
      </rPr>
      <t>uk</t>
    </r>
    <r>
      <rPr>
        <sz val="9"/>
        <rFont val="Arial"/>
        <family val="2"/>
      </rPr>
      <t xml:space="preserve"> ?</t>
    </r>
  </si>
  <si>
    <t xml:space="preserve">contrainte du sol Meyerhof </t>
  </si>
  <si>
    <t>épaisseur du fût</t>
  </si>
  <si>
    <r>
      <t>Frottement pondéré = N</t>
    </r>
    <r>
      <rPr>
        <vertAlign val="subscript"/>
        <sz val="9"/>
        <rFont val="Arial Narrow"/>
        <family val="2"/>
      </rPr>
      <t>Ed</t>
    </r>
    <r>
      <rPr>
        <sz val="9"/>
        <rFont val="Arial Narrow"/>
        <family val="2"/>
      </rPr>
      <t>.tan</t>
    </r>
    <r>
      <rPr>
        <sz val="9"/>
        <rFont val="Symbol"/>
        <family val="1"/>
      </rPr>
      <t>j</t>
    </r>
    <r>
      <rPr>
        <sz val="9"/>
        <rFont val="Arial Narrow"/>
        <family val="2"/>
      </rPr>
      <t>/</t>
    </r>
    <r>
      <rPr>
        <sz val="9"/>
        <rFont val="Symbol"/>
        <family val="1"/>
      </rPr>
      <t>g</t>
    </r>
    <r>
      <rPr>
        <vertAlign val="subscript"/>
        <sz val="9"/>
        <rFont val="Arial Narrow"/>
        <family val="2"/>
      </rPr>
      <t>R,h</t>
    </r>
  </si>
  <si>
    <t>25 septembre 2012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</si>
</sst>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00"/>
    <numFmt numFmtId="166" formatCode="0.000"/>
    <numFmt numFmtId="167" formatCode="&quot;Vrai&quot;;&quot;Vrai&quot;;&quot;Faux&quot;"/>
    <numFmt numFmtId="168" formatCode="&quot;Actif&quot;;&quot;Actif&quot;;&quot;Inactif&quot;"/>
    <numFmt numFmtId="169" formatCode="0.0"/>
    <numFmt numFmtId="170" formatCode="0.000000"/>
    <numFmt numFmtId="171" formatCode="&quot;cas &quot;0"/>
  </numFmts>
  <fonts count="52">
    <font>
      <sz val="9"/>
      <name val="Arial"/>
      <family val="0"/>
    </font>
    <font>
      <sz val="9"/>
      <name val="Symbol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vertAlign val="subscript"/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sz val="9"/>
      <name val="Tahoma"/>
      <family val="0"/>
    </font>
    <font>
      <b/>
      <vertAlign val="subscript"/>
      <sz val="9"/>
      <name val="Tahoma"/>
      <family val="2"/>
    </font>
    <font>
      <sz val="9"/>
      <color indexed="10"/>
      <name val="Arial"/>
      <family val="0"/>
    </font>
    <font>
      <sz val="9"/>
      <name val="Tahoma"/>
      <family val="0"/>
    </font>
    <font>
      <b/>
      <sz val="9"/>
      <name val="Symbol"/>
      <family val="1"/>
    </font>
    <font>
      <sz val="8"/>
      <name val="Arial Narrow"/>
      <family val="2"/>
    </font>
    <font>
      <sz val="9"/>
      <name val="Arial Narrow"/>
      <family val="2"/>
    </font>
    <font>
      <vertAlign val="subscript"/>
      <sz val="9"/>
      <name val="Arial Narrow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hair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horizontal="left"/>
    </xf>
    <xf numFmtId="166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Fill="1" applyBorder="1" applyAlignment="1">
      <alignment horizontal="center"/>
    </xf>
    <xf numFmtId="9" fontId="0" fillId="0" borderId="0" xfId="52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9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0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12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169" fontId="0" fillId="0" borderId="10" xfId="0" applyNumberFormat="1" applyFont="1" applyBorder="1" applyAlignment="1" quotePrefix="1">
      <alignment horizontal="center"/>
    </xf>
    <xf numFmtId="169" fontId="0" fillId="0" borderId="10" xfId="0" applyNumberFormat="1" applyFont="1" applyBorder="1" applyAlignment="1">
      <alignment horizontal="center"/>
    </xf>
    <xf numFmtId="169" fontId="0" fillId="0" borderId="10" xfId="0" applyNumberFormat="1" applyBorder="1" applyAlignment="1" quotePrefix="1">
      <alignment horizontal="center"/>
    </xf>
    <xf numFmtId="169" fontId="0" fillId="0" borderId="10" xfId="0" applyNumberFormat="1" applyBorder="1" applyAlignment="1">
      <alignment horizontal="center"/>
    </xf>
    <xf numFmtId="169" fontId="0" fillId="0" borderId="12" xfId="0" applyNumberFormat="1" applyBorder="1" applyAlignment="1">
      <alignment horizontal="center"/>
    </xf>
    <xf numFmtId="16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 quotePrefix="1">
      <alignment horizontal="right"/>
    </xf>
    <xf numFmtId="0" fontId="0" fillId="0" borderId="0" xfId="0" applyAlignment="1" quotePrefix="1">
      <alignment horizontal="left"/>
    </xf>
    <xf numFmtId="0" fontId="1" fillId="0" borderId="0" xfId="0" applyFont="1" applyAlignment="1" quotePrefix="1">
      <alignment horizontal="left"/>
    </xf>
    <xf numFmtId="0" fontId="0" fillId="0" borderId="0" xfId="0" applyAlignment="1" quotePrefix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left"/>
    </xf>
    <xf numFmtId="2" fontId="0" fillId="33" borderId="10" xfId="0" applyNumberFormat="1" applyFill="1" applyBorder="1" applyAlignment="1">
      <alignment horizontal="center"/>
    </xf>
    <xf numFmtId="169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169" fontId="0" fillId="0" borderId="22" xfId="0" applyNumberFormat="1" applyBorder="1" applyAlignment="1">
      <alignment horizontal="center"/>
    </xf>
    <xf numFmtId="169" fontId="0" fillId="0" borderId="23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18" xfId="0" applyNumberFormat="1" applyBorder="1" applyAlignment="1">
      <alignment horizontal="center"/>
    </xf>
    <xf numFmtId="169" fontId="0" fillId="0" borderId="19" xfId="0" applyNumberFormat="1" applyBorder="1" applyAlignment="1">
      <alignment horizontal="center"/>
    </xf>
    <xf numFmtId="169" fontId="0" fillId="0" borderId="24" xfId="0" applyNumberFormat="1" applyBorder="1" applyAlignment="1">
      <alignment horizontal="center"/>
    </xf>
    <xf numFmtId="169" fontId="0" fillId="0" borderId="20" xfId="0" applyNumberFormat="1" applyBorder="1" applyAlignment="1">
      <alignment horizontal="center"/>
    </xf>
    <xf numFmtId="169" fontId="0" fillId="0" borderId="21" xfId="0" applyNumberFormat="1" applyBorder="1" applyAlignment="1">
      <alignment horizontal="center"/>
    </xf>
    <xf numFmtId="169" fontId="0" fillId="0" borderId="14" xfId="0" applyNumberFormat="1" applyBorder="1" applyAlignment="1">
      <alignment horizontal="center"/>
    </xf>
    <xf numFmtId="0" fontId="0" fillId="0" borderId="18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2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164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2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71" fontId="0" fillId="0" borderId="10" xfId="0" applyNumberFormat="1" applyBorder="1" applyAlignment="1">
      <alignment horizontal="center"/>
    </xf>
    <xf numFmtId="171" fontId="0" fillId="0" borderId="13" xfId="0" applyNumberForma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right"/>
      <protection locked="0"/>
    </xf>
    <xf numFmtId="0" fontId="0" fillId="0" borderId="23" xfId="0" applyBorder="1" applyAlignment="1" applyProtection="1">
      <alignment horizontal="right"/>
      <protection locked="0"/>
    </xf>
    <xf numFmtId="0" fontId="1" fillId="0" borderId="20" xfId="0" applyFont="1" applyBorder="1" applyAlignment="1" applyProtection="1">
      <alignment horizontal="right"/>
      <protection locked="0"/>
    </xf>
    <xf numFmtId="166" fontId="0" fillId="0" borderId="14" xfId="0" applyNumberFormat="1" applyBorder="1" applyAlignment="1" applyProtection="1">
      <alignment horizontal="center"/>
      <protection locked="0"/>
    </xf>
    <xf numFmtId="0" fontId="13" fillId="0" borderId="0" xfId="0" applyFont="1" applyAlignment="1">
      <alignment horizontal="righ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Contraintes sol selon Meyerhof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0485"/>
          <c:w val="0.83625"/>
          <c:h val="0.923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Feuil1!$AS$69</c:f>
              <c:strCache>
                <c:ptCount val="1"/>
                <c:pt idx="0">
                  <c:v>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Feuil1!$AR$70:$AR$118</c:f>
              <c:numCache/>
            </c:numRef>
          </c:xVal>
          <c:yVal>
            <c:numRef>
              <c:f>Feuil1!$AS$70:$AS$118</c:f>
              <c:numCache/>
            </c:numRef>
          </c:yVal>
          <c:smooth val="0"/>
        </c:ser>
        <c:ser>
          <c:idx val="1"/>
          <c:order val="1"/>
          <c:tx>
            <c:strRef>
              <c:f>Feuil1!$AT$69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Feuil1!$AR$70:$AR$118</c:f>
              <c:numCache/>
            </c:numRef>
          </c:xVal>
          <c:yVal>
            <c:numRef>
              <c:f>Feuil1!$AT$70:$AT$118</c:f>
              <c:numCache/>
            </c:numRef>
          </c:yVal>
          <c:smooth val="0"/>
        </c:ser>
        <c:ser>
          <c:idx val="2"/>
          <c:order val="2"/>
          <c:tx>
            <c:strRef>
              <c:f>Feuil1!$AU$69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Feuil1!$AR$70:$AR$118</c:f>
              <c:numCache/>
            </c:numRef>
          </c:xVal>
          <c:yVal>
            <c:numRef>
              <c:f>Feuil1!$AU$70:$AU$118</c:f>
              <c:numCache/>
            </c:numRef>
          </c:yVal>
          <c:smooth val="0"/>
        </c:ser>
        <c:ser>
          <c:idx val="3"/>
          <c:order val="3"/>
          <c:tx>
            <c:strRef>
              <c:f>Feuil1!$AV$69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Feuil1!$AR$70:$AR$118</c:f>
              <c:numCache/>
            </c:numRef>
          </c:xVal>
          <c:yVal>
            <c:numRef>
              <c:f>Feuil1!$AV$70:$AV$118</c:f>
              <c:numCache/>
            </c:numRef>
          </c:yVal>
          <c:smooth val="0"/>
        </c:ser>
        <c:ser>
          <c:idx val="4"/>
          <c:order val="4"/>
          <c:tx>
            <c:strRef>
              <c:f>Feuil1!$AW$69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Feuil1!$AR$70:$AR$118</c:f>
              <c:numCache/>
            </c:numRef>
          </c:xVal>
          <c:yVal>
            <c:numRef>
              <c:f>Feuil1!$AW$70:$AW$118</c:f>
              <c:numCache/>
            </c:numRef>
          </c:yVal>
          <c:smooth val="0"/>
        </c:ser>
        <c:ser>
          <c:idx val="5"/>
          <c:order val="5"/>
          <c:tx>
            <c:strRef>
              <c:f>Feuil1!$AX$69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Feuil1!$AR$70:$AR$118</c:f>
              <c:numCache/>
            </c:numRef>
          </c:xVal>
          <c:yVal>
            <c:numRef>
              <c:f>Feuil1!$AX$70:$AX$118</c:f>
              <c:numCache/>
            </c:numRef>
          </c:yVal>
          <c:smooth val="0"/>
        </c:ser>
        <c:ser>
          <c:idx val="6"/>
          <c:order val="6"/>
          <c:tx>
            <c:strRef>
              <c:f>Feuil1!$AY$69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Feuil1!$AR$70:$AR$118</c:f>
              <c:numCache/>
            </c:numRef>
          </c:xVal>
          <c:yVal>
            <c:numRef>
              <c:f>Feuil1!$AY$70:$AY$118</c:f>
              <c:numCache/>
            </c:numRef>
          </c:yVal>
          <c:smooth val="0"/>
        </c:ser>
        <c:ser>
          <c:idx val="7"/>
          <c:order val="7"/>
          <c:tx>
            <c:strRef>
              <c:f>Feuil1!$AZ$69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Feuil1!$AR$70:$AR$118</c:f>
              <c:numCache/>
            </c:numRef>
          </c:xVal>
          <c:yVal>
            <c:numRef>
              <c:f>Feuil1!$AZ$70:$AZ$118</c:f>
              <c:numCache/>
            </c:numRef>
          </c:yVal>
          <c:smooth val="0"/>
        </c:ser>
        <c:ser>
          <c:idx val="8"/>
          <c:order val="8"/>
          <c:tx>
            <c:strRef>
              <c:f>Feuil1!$BA$69</c:f>
              <c:strCache>
                <c:ptCount val="1"/>
                <c:pt idx="0">
                  <c:v>semelles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Feuil1!$AR$70:$AR$118</c:f>
              <c:numCache/>
            </c:numRef>
          </c:xVal>
          <c:yVal>
            <c:numRef>
              <c:f>Feuil1!$BA$70:$BA$118</c:f>
              <c:numCache/>
            </c:numRef>
          </c:yVal>
          <c:smooth val="0"/>
        </c:ser>
        <c:axId val="8346118"/>
        <c:axId val="8006199"/>
      </c:scatterChart>
      <c:valAx>
        <c:axId val="834611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6199"/>
        <c:crosses val="autoZero"/>
        <c:crossBetween val="midCat"/>
        <c:dispUnits/>
      </c:valAx>
      <c:valAx>
        <c:axId val="8006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461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25"/>
          <c:y val="0.28575"/>
          <c:w val="0.12075"/>
          <c:h val="0.48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Contraintes sol selon Navier (kPa)</a:t>
            </a:r>
          </a:p>
        </c:rich>
      </c:tx>
      <c:layout>
        <c:manualLayout>
          <c:xMode val="factor"/>
          <c:yMode val="factor"/>
          <c:x val="0.001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6675"/>
          <c:w val="0.8335"/>
          <c:h val="0.90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Feuil1!$AD$69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Feuil1!$AC$70:$AC$118</c:f>
              <c:numCache/>
            </c:numRef>
          </c:xVal>
          <c:yVal>
            <c:numRef>
              <c:f>Feuil1!$AD$70:$AD$118</c:f>
              <c:numCache/>
            </c:numRef>
          </c:yVal>
          <c:smooth val="0"/>
        </c:ser>
        <c:ser>
          <c:idx val="1"/>
          <c:order val="1"/>
          <c:tx>
            <c:strRef>
              <c:f>Feuil1!$AE$69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Feuil1!$AC$70:$AC$118</c:f>
              <c:numCache/>
            </c:numRef>
          </c:xVal>
          <c:yVal>
            <c:numRef>
              <c:f>Feuil1!$AE$70:$AE$118</c:f>
              <c:numCache/>
            </c:numRef>
          </c:yVal>
          <c:smooth val="0"/>
        </c:ser>
        <c:ser>
          <c:idx val="2"/>
          <c:order val="2"/>
          <c:tx>
            <c:strRef>
              <c:f>Feuil1!$AF$69</c:f>
              <c:strCache>
                <c:ptCount val="1"/>
                <c:pt idx="0">
                  <c:v>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Feuil1!$AC$70:$AC$118</c:f>
              <c:numCache/>
            </c:numRef>
          </c:xVal>
          <c:yVal>
            <c:numRef>
              <c:f>Feuil1!$AF$70:$AF$118</c:f>
              <c:numCache/>
            </c:numRef>
          </c:yVal>
          <c:smooth val="0"/>
        </c:ser>
        <c:ser>
          <c:idx val="3"/>
          <c:order val="3"/>
          <c:tx>
            <c:strRef>
              <c:f>Feuil1!$AG$69</c:f>
              <c:strCache>
                <c:ptCount val="1"/>
                <c:pt idx="0">
                  <c:v>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Feuil1!$AC$70:$AC$118</c:f>
              <c:numCache/>
            </c:numRef>
          </c:xVal>
          <c:yVal>
            <c:numRef>
              <c:f>Feuil1!$AG$70:$AG$118</c:f>
              <c:numCache/>
            </c:numRef>
          </c:yVal>
          <c:smooth val="0"/>
        </c:ser>
        <c:ser>
          <c:idx val="4"/>
          <c:order val="4"/>
          <c:tx>
            <c:strRef>
              <c:f>Feuil1!$AH$69</c:f>
              <c:strCache>
                <c:ptCount val="1"/>
                <c:pt idx="0">
                  <c:v>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Feuil1!$AC$70:$AC$118</c:f>
              <c:numCache/>
            </c:numRef>
          </c:xVal>
          <c:yVal>
            <c:numRef>
              <c:f>Feuil1!$AH$70:$AH$118</c:f>
              <c:numCache/>
            </c:numRef>
          </c:yVal>
          <c:smooth val="0"/>
        </c:ser>
        <c:ser>
          <c:idx val="5"/>
          <c:order val="5"/>
          <c:tx>
            <c:strRef>
              <c:f>Feuil1!$AI$69</c:f>
              <c:strCache>
                <c:ptCount val="1"/>
                <c:pt idx="0">
                  <c:v>6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Feuil1!$AC$70:$AC$118</c:f>
              <c:numCache/>
            </c:numRef>
          </c:xVal>
          <c:yVal>
            <c:numRef>
              <c:f>Feuil1!$AI$70:$AI$118</c:f>
              <c:numCache/>
            </c:numRef>
          </c:yVal>
          <c:smooth val="0"/>
        </c:ser>
        <c:ser>
          <c:idx val="6"/>
          <c:order val="6"/>
          <c:tx>
            <c:strRef>
              <c:f>Feuil1!$AJ$69</c:f>
              <c:strCache>
                <c:ptCount val="1"/>
                <c:pt idx="0">
                  <c:v>7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Feuil1!$AC$70:$AC$118</c:f>
              <c:numCache/>
            </c:numRef>
          </c:xVal>
          <c:yVal>
            <c:numRef>
              <c:f>Feuil1!$AJ$70:$AJ$118</c:f>
              <c:numCache/>
            </c:numRef>
          </c:yVal>
          <c:smooth val="0"/>
        </c:ser>
        <c:ser>
          <c:idx val="7"/>
          <c:order val="7"/>
          <c:tx>
            <c:strRef>
              <c:f>Feuil1!$AK$69</c:f>
              <c:strCache>
                <c:ptCount val="1"/>
                <c:pt idx="0">
                  <c:v>8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Feuil1!$AC$70:$AC$118</c:f>
              <c:numCache/>
            </c:numRef>
          </c:xVal>
          <c:yVal>
            <c:numRef>
              <c:f>Feuil1!$AK$70:$AK$118</c:f>
              <c:numCache/>
            </c:numRef>
          </c:yVal>
          <c:smooth val="0"/>
        </c:ser>
        <c:ser>
          <c:idx val="8"/>
          <c:order val="8"/>
          <c:tx>
            <c:strRef>
              <c:f>Feuil1!$AL$69</c:f>
              <c:strCache>
                <c:ptCount val="1"/>
                <c:pt idx="0">
                  <c:v>semelles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Feuil1!$AC$70:$AC$118</c:f>
              <c:numCache/>
            </c:numRef>
          </c:xVal>
          <c:yVal>
            <c:numRef>
              <c:f>Feuil1!$AL$70:$AL$118</c:f>
              <c:numCache/>
            </c:numRef>
          </c:yVal>
          <c:smooth val="0"/>
        </c:ser>
        <c:axId val="4946928"/>
        <c:axId val="44522353"/>
      </c:scatterChart>
      <c:valAx>
        <c:axId val="49469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53"/>
        <c:crosses val="autoZero"/>
        <c:crossBetween val="midCat"/>
        <c:dispUnits/>
      </c:valAx>
      <c:valAx>
        <c:axId val="44522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69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625"/>
          <c:y val="0.26525"/>
          <c:w val="0.12"/>
          <c:h val="0.5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11"/>
          <c:w val="0.8195"/>
          <c:h val="0.94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Feuil1!$Y$12</c:f>
              <c:strCache>
                <c:ptCount val="1"/>
                <c:pt idx="0">
                  <c:v>mur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Feuil1!$X$13:$X$27</c:f>
              <c:numCache/>
            </c:numRef>
          </c:xVal>
          <c:yVal>
            <c:numRef>
              <c:f>Feuil1!$Y$13:$Y$27</c:f>
              <c:numCache/>
            </c:numRef>
          </c:yVal>
          <c:smooth val="0"/>
        </c:ser>
        <c:ser>
          <c:idx val="1"/>
          <c:order val="1"/>
          <c:tx>
            <c:strRef>
              <c:f>Feuil1!$Z$12</c:f>
              <c:strCache>
                <c:ptCount val="1"/>
                <c:pt idx="0">
                  <c:v>terre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Feuil1!$X$13:$X$27</c:f>
              <c:numCache/>
            </c:numRef>
          </c:xVal>
          <c:yVal>
            <c:numRef>
              <c:f>Feuil1!$Z$13:$Z$27</c:f>
              <c:numCache/>
            </c:numRef>
          </c:yVal>
          <c:smooth val="0"/>
        </c:ser>
        <c:axId val="65156858"/>
        <c:axId val="49540811"/>
      </c:scatterChart>
      <c:valAx>
        <c:axId val="6515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540811"/>
        <c:crosses val="autoZero"/>
        <c:crossBetween val="midCat"/>
        <c:dispUnits/>
      </c:valAx>
      <c:valAx>
        <c:axId val="49540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8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"/>
          <c:y val="0.42225"/>
          <c:w val="0.1407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2.w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172</xdr:row>
      <xdr:rowOff>0</xdr:rowOff>
    </xdr:from>
    <xdr:to>
      <xdr:col>15</xdr:col>
      <xdr:colOff>342900</xdr:colOff>
      <xdr:row>194</xdr:row>
      <xdr:rowOff>66675</xdr:rowOff>
    </xdr:to>
    <xdr:graphicFrame>
      <xdr:nvGraphicFramePr>
        <xdr:cNvPr id="1" name="Chart 61"/>
        <xdr:cNvGraphicFramePr/>
      </xdr:nvGraphicFramePr>
      <xdr:xfrm>
        <a:off x="95250" y="27727275"/>
        <a:ext cx="72675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150</xdr:row>
      <xdr:rowOff>66675</xdr:rowOff>
    </xdr:from>
    <xdr:to>
      <xdr:col>15</xdr:col>
      <xdr:colOff>361950</xdr:colOff>
      <xdr:row>171</xdr:row>
      <xdr:rowOff>76200</xdr:rowOff>
    </xdr:to>
    <xdr:graphicFrame>
      <xdr:nvGraphicFramePr>
        <xdr:cNvPr id="2" name="Chart 63"/>
        <xdr:cNvGraphicFramePr/>
      </xdr:nvGraphicFramePr>
      <xdr:xfrm>
        <a:off x="66675" y="24441150"/>
        <a:ext cx="731520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247650</xdr:colOff>
      <xdr:row>127</xdr:row>
      <xdr:rowOff>66675</xdr:rowOff>
    </xdr:from>
    <xdr:to>
      <xdr:col>11</xdr:col>
      <xdr:colOff>180975</xdr:colOff>
      <xdr:row>149</xdr:row>
      <xdr:rowOff>133350</xdr:rowOff>
    </xdr:to>
    <xdr:graphicFrame>
      <xdr:nvGraphicFramePr>
        <xdr:cNvPr id="3" name="Chart 69"/>
        <xdr:cNvGraphicFramePr/>
      </xdr:nvGraphicFramePr>
      <xdr:xfrm>
        <a:off x="1219200" y="20840700"/>
        <a:ext cx="407670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A148"/>
  <sheetViews>
    <sheetView showGridLines="0" tabSelected="1" view="pageBreakPreview" zoomScaleSheetLayoutView="100" zoomScalePageLayoutView="0" workbookViewId="0" topLeftCell="A151">
      <selection activeCell="B5" sqref="B5"/>
    </sheetView>
  </sheetViews>
  <sheetFormatPr defaultColWidth="11.421875" defaultRowHeight="12"/>
  <cols>
    <col min="1" max="1" width="6.57421875" style="0" customWidth="1"/>
    <col min="2" max="2" width="8.00390625" style="0" customWidth="1"/>
    <col min="3" max="3" width="7.7109375" style="1" customWidth="1"/>
    <col min="4" max="4" width="6.57421875" style="1" customWidth="1"/>
    <col min="5" max="5" width="6.8515625" style="1" customWidth="1"/>
    <col min="6" max="6" width="7.421875" style="1" customWidth="1"/>
    <col min="7" max="7" width="6.8515625" style="1" customWidth="1"/>
    <col min="8" max="8" width="6.7109375" style="1" customWidth="1"/>
    <col min="9" max="9" width="7.28125" style="1" customWidth="1"/>
    <col min="10" max="10" width="6.57421875" style="1" customWidth="1"/>
    <col min="11" max="11" width="6.140625" style="1" customWidth="1"/>
    <col min="12" max="12" width="6.421875" style="0" customWidth="1"/>
    <col min="13" max="13" width="7.28125" style="0" customWidth="1"/>
    <col min="14" max="15" width="7.421875" style="0" customWidth="1"/>
    <col min="16" max="22" width="8.57421875" style="0" customWidth="1"/>
    <col min="23" max="24" width="7.421875" style="1" customWidth="1"/>
    <col min="25" max="26" width="7.00390625" style="1" customWidth="1"/>
    <col min="27" max="27" width="5.421875" style="1" customWidth="1"/>
    <col min="28" max="28" width="7.00390625" style="1" customWidth="1"/>
    <col min="29" max="30" width="5.421875" style="1" customWidth="1"/>
    <col min="31" max="31" width="5.00390625" style="1" customWidth="1"/>
    <col min="32" max="37" width="5.00390625" style="0" customWidth="1"/>
    <col min="38" max="41" width="5.00390625" style="1" customWidth="1"/>
    <col min="42" max="43" width="5.421875" style="1" customWidth="1"/>
    <col min="44" max="57" width="5.57421875" style="1" customWidth="1"/>
    <col min="58" max="58" width="11.421875" style="1" customWidth="1"/>
  </cols>
  <sheetData>
    <row r="1" spans="1:22" ht="12.75">
      <c r="A1" s="8" t="s">
        <v>74</v>
      </c>
      <c r="P1" s="56" t="s">
        <v>118</v>
      </c>
      <c r="Q1" s="56"/>
      <c r="R1" s="56"/>
      <c r="S1" s="56"/>
      <c r="T1" s="56"/>
      <c r="U1" s="56"/>
      <c r="V1" s="56"/>
    </row>
    <row r="2" spans="16:22" ht="12.75">
      <c r="P2" s="56" t="s">
        <v>119</v>
      </c>
      <c r="Q2" s="56"/>
      <c r="R2" s="56"/>
      <c r="S2" s="56"/>
      <c r="T2" s="56"/>
      <c r="U2" s="56"/>
      <c r="V2" s="56"/>
    </row>
    <row r="3" spans="1:22" ht="13.5" thickBot="1">
      <c r="A3" s="8" t="s">
        <v>69</v>
      </c>
      <c r="P3" s="56" t="s">
        <v>120</v>
      </c>
      <c r="Q3" s="56"/>
      <c r="R3" s="56"/>
      <c r="S3" s="56"/>
      <c r="T3" s="56"/>
      <c r="U3" s="56"/>
      <c r="V3" s="56"/>
    </row>
    <row r="4" spans="1:22" ht="14.25" thickTop="1">
      <c r="A4" s="6" t="s">
        <v>44</v>
      </c>
      <c r="B4" s="101">
        <v>1.2</v>
      </c>
      <c r="C4" s="20" t="s">
        <v>23</v>
      </c>
      <c r="D4" s="7" t="s">
        <v>75</v>
      </c>
      <c r="P4" s="56" t="s">
        <v>121</v>
      </c>
      <c r="Q4" s="56"/>
      <c r="R4" s="56"/>
      <c r="S4" s="56"/>
      <c r="T4" s="56"/>
      <c r="U4" s="56"/>
      <c r="V4" s="56"/>
    </row>
    <row r="5" spans="1:22" ht="13.5">
      <c r="A5" s="6" t="s">
        <v>45</v>
      </c>
      <c r="B5" s="102">
        <v>0.3</v>
      </c>
      <c r="C5" s="20" t="s">
        <v>23</v>
      </c>
      <c r="D5" s="7" t="s">
        <v>196</v>
      </c>
      <c r="P5" s="56" t="s">
        <v>122</v>
      </c>
      <c r="Q5" s="56"/>
      <c r="R5" s="56"/>
      <c r="S5" s="56"/>
      <c r="T5" s="56"/>
      <c r="U5" s="56"/>
      <c r="V5" s="56"/>
    </row>
    <row r="6" spans="1:22" ht="13.5">
      <c r="A6" s="6" t="s">
        <v>46</v>
      </c>
      <c r="B6" s="102">
        <v>0.9</v>
      </c>
      <c r="C6" s="20" t="s">
        <v>23</v>
      </c>
      <c r="D6" s="7" t="s">
        <v>76</v>
      </c>
      <c r="J6" s="6"/>
      <c r="P6" s="57" t="s">
        <v>198</v>
      </c>
      <c r="Q6" s="57"/>
      <c r="R6" s="57"/>
      <c r="S6" s="57"/>
      <c r="T6" s="57"/>
      <c r="U6" s="57"/>
      <c r="V6" s="57"/>
    </row>
    <row r="7" spans="1:10" ht="13.5">
      <c r="A7" s="6" t="s">
        <v>47</v>
      </c>
      <c r="B7" s="102">
        <v>0.3</v>
      </c>
      <c r="C7" s="20" t="s">
        <v>23</v>
      </c>
      <c r="D7" s="7" t="s">
        <v>77</v>
      </c>
      <c r="J7" s="6"/>
    </row>
    <row r="8" spans="1:4" ht="13.5">
      <c r="A8" s="6" t="s">
        <v>48</v>
      </c>
      <c r="B8" s="102">
        <v>0.7</v>
      </c>
      <c r="C8" s="20" t="s">
        <v>23</v>
      </c>
      <c r="D8" s="7" t="s">
        <v>78</v>
      </c>
    </row>
    <row r="9" spans="1:4" ht="13.5">
      <c r="A9" s="6" t="s">
        <v>49</v>
      </c>
      <c r="B9" s="102">
        <v>0.3</v>
      </c>
      <c r="C9" s="20" t="s">
        <v>23</v>
      </c>
      <c r="D9" s="7" t="s">
        <v>79</v>
      </c>
    </row>
    <row r="10" spans="1:4" ht="13.5">
      <c r="A10" s="6" t="s">
        <v>50</v>
      </c>
      <c r="B10" s="102">
        <v>3.7</v>
      </c>
      <c r="C10" s="20" t="s">
        <v>23</v>
      </c>
      <c r="D10" s="7" t="s">
        <v>80</v>
      </c>
    </row>
    <row r="11" spans="1:25" ht="13.5">
      <c r="A11" s="6" t="s">
        <v>55</v>
      </c>
      <c r="B11" s="102">
        <v>10</v>
      </c>
      <c r="C11" s="20" t="s">
        <v>16</v>
      </c>
      <c r="D11" s="7" t="s">
        <v>84</v>
      </c>
      <c r="X11" s="1" t="s">
        <v>156</v>
      </c>
      <c r="Y11" s="1">
        <v>0.1</v>
      </c>
    </row>
    <row r="12" spans="1:26" ht="12">
      <c r="A12" s="1"/>
      <c r="B12" s="102">
        <v>0</v>
      </c>
      <c r="D12" s="7" t="s">
        <v>39</v>
      </c>
      <c r="X12" s="61"/>
      <c r="Y12" s="62" t="s">
        <v>155</v>
      </c>
      <c r="Z12" s="62" t="s">
        <v>14</v>
      </c>
    </row>
    <row r="13" spans="1:26" ht="12">
      <c r="A13" s="23" t="s">
        <v>57</v>
      </c>
      <c r="B13" s="102">
        <v>30</v>
      </c>
      <c r="C13" s="7" t="s">
        <v>58</v>
      </c>
      <c r="D13" s="7" t="s">
        <v>41</v>
      </c>
      <c r="X13" s="71">
        <f>0+dec</f>
        <v>0.1</v>
      </c>
      <c r="Y13" s="72">
        <f>0+dec</f>
        <v>0.1</v>
      </c>
      <c r="Z13" s="72"/>
    </row>
    <row r="14" spans="1:26" ht="12">
      <c r="A14" s="23" t="s">
        <v>57</v>
      </c>
      <c r="B14" s="102">
        <f>B13*PI()/180</f>
        <v>0.5235987755982988</v>
      </c>
      <c r="C14" s="7" t="s">
        <v>59</v>
      </c>
      <c r="D14" s="1" t="s">
        <v>82</v>
      </c>
      <c r="H14"/>
      <c r="I14"/>
      <c r="X14" s="71">
        <f>0+dec</f>
        <v>0.1</v>
      </c>
      <c r="Y14" s="72">
        <f>B7+dec</f>
        <v>0.4</v>
      </c>
      <c r="Z14" s="72"/>
    </row>
    <row r="15" spans="1:26" ht="13.5">
      <c r="A15" s="23" t="s">
        <v>10</v>
      </c>
      <c r="B15" s="102">
        <v>25</v>
      </c>
      <c r="C15" s="20" t="s">
        <v>56</v>
      </c>
      <c r="D15" s="7" t="s">
        <v>83</v>
      </c>
      <c r="H15"/>
      <c r="I15"/>
      <c r="X15" s="71">
        <f>B4+dec</f>
        <v>1.3</v>
      </c>
      <c r="Y15" s="72">
        <f>Y14</f>
        <v>0.4</v>
      </c>
      <c r="Z15" s="72"/>
    </row>
    <row r="16" spans="1:26" ht="13.5">
      <c r="A16" s="23" t="s">
        <v>54</v>
      </c>
      <c r="B16" s="102">
        <v>18</v>
      </c>
      <c r="C16" s="20" t="s">
        <v>56</v>
      </c>
      <c r="D16" s="7" t="s">
        <v>81</v>
      </c>
      <c r="H16"/>
      <c r="I16"/>
      <c r="R16" s="112" t="s">
        <v>181</v>
      </c>
      <c r="S16" s="113">
        <v>25</v>
      </c>
      <c r="T16" s="114">
        <v>1.05</v>
      </c>
      <c r="X16" s="71">
        <f>X15</f>
        <v>1.3</v>
      </c>
      <c r="Y16" s="72">
        <f>B28+dec</f>
        <v>4.1</v>
      </c>
      <c r="Z16" s="72"/>
    </row>
    <row r="17" spans="1:26" ht="13.5">
      <c r="A17" s="23" t="s">
        <v>28</v>
      </c>
      <c r="B17" s="102">
        <v>1.35</v>
      </c>
      <c r="C17" s="7"/>
      <c r="D17" s="7" t="s">
        <v>85</v>
      </c>
      <c r="R17" s="115" t="s">
        <v>186</v>
      </c>
      <c r="S17" s="116">
        <v>50</v>
      </c>
      <c r="T17" s="117">
        <v>1.1</v>
      </c>
      <c r="X17" s="71">
        <f>B4+B5+dec</f>
        <v>1.6</v>
      </c>
      <c r="Y17" s="72">
        <f>Y16</f>
        <v>4.1</v>
      </c>
      <c r="Z17" s="72"/>
    </row>
    <row r="18" spans="1:26" ht="13.5">
      <c r="A18" s="23" t="s">
        <v>13</v>
      </c>
      <c r="B18" s="102">
        <v>1.5</v>
      </c>
      <c r="C18" s="7"/>
      <c r="D18" s="7" t="s">
        <v>86</v>
      </c>
      <c r="R18" s="118" t="s">
        <v>187</v>
      </c>
      <c r="S18" s="119">
        <v>75</v>
      </c>
      <c r="T18" s="120">
        <v>1.15</v>
      </c>
      <c r="X18" s="71">
        <f>X17</f>
        <v>1.6</v>
      </c>
      <c r="Y18" s="72">
        <f>B9+dec</f>
        <v>0.4</v>
      </c>
      <c r="Z18" s="72"/>
    </row>
    <row r="19" spans="1:26" ht="14.25" thickBot="1">
      <c r="A19" s="23" t="s">
        <v>66</v>
      </c>
      <c r="B19" s="102">
        <v>1.1</v>
      </c>
      <c r="D19" s="7" t="s">
        <v>87</v>
      </c>
      <c r="X19" s="71">
        <f>B26+dec</f>
        <v>2.5</v>
      </c>
      <c r="Y19" s="72">
        <f>Y18</f>
        <v>0.4</v>
      </c>
      <c r="Z19" s="72"/>
    </row>
    <row r="20" spans="1:26" ht="14.25" thickTop="1">
      <c r="A20" s="6" t="s">
        <v>126</v>
      </c>
      <c r="B20" s="102">
        <v>25</v>
      </c>
      <c r="C20" t="s">
        <v>103</v>
      </c>
      <c r="D20" s="33" t="s">
        <v>128</v>
      </c>
      <c r="H20" s="23" t="s">
        <v>130</v>
      </c>
      <c r="I20" s="101">
        <v>1.5</v>
      </c>
      <c r="K20" s="6" t="s">
        <v>132</v>
      </c>
      <c r="L20" s="2">
        <f>B20/I20</f>
        <v>16.666666666666668</v>
      </c>
      <c r="M20" t="s">
        <v>103</v>
      </c>
      <c r="S20" s="121" t="s">
        <v>185</v>
      </c>
      <c r="T20" s="114">
        <f>VLOOKUP(B23,R16:T18,2)</f>
        <v>25</v>
      </c>
      <c r="X20" s="71">
        <f>X19</f>
        <v>2.5</v>
      </c>
      <c r="Y20" s="72">
        <f>0+dec</f>
        <v>0.1</v>
      </c>
      <c r="Z20" s="72"/>
    </row>
    <row r="21" spans="1:26" ht="14.25" thickBot="1">
      <c r="A21" s="6" t="s">
        <v>127</v>
      </c>
      <c r="B21" s="102">
        <v>500</v>
      </c>
      <c r="C21" t="s">
        <v>103</v>
      </c>
      <c r="D21" s="33" t="s">
        <v>129</v>
      </c>
      <c r="H21" s="23" t="s">
        <v>131</v>
      </c>
      <c r="I21" s="103">
        <v>1.15</v>
      </c>
      <c r="K21" s="6" t="s">
        <v>133</v>
      </c>
      <c r="L21" s="2">
        <f>B21/I21</f>
        <v>434.7826086956522</v>
      </c>
      <c r="M21" t="s">
        <v>103</v>
      </c>
      <c r="S21" s="122" t="s">
        <v>184</v>
      </c>
      <c r="T21" s="117">
        <f>VLOOKUP(B23,R16:T18,3)</f>
        <v>1.05</v>
      </c>
      <c r="X21" s="63">
        <f>0+dec</f>
        <v>0.1</v>
      </c>
      <c r="Y21" s="14">
        <f>+dec</f>
        <v>0.1</v>
      </c>
      <c r="Z21" s="72"/>
    </row>
    <row r="22" spans="1:26" ht="14.25" thickTop="1">
      <c r="A22" s="6" t="s">
        <v>123</v>
      </c>
      <c r="B22" s="102">
        <v>45</v>
      </c>
      <c r="C22" t="s">
        <v>124</v>
      </c>
      <c r="D22" s="7" t="s">
        <v>125</v>
      </c>
      <c r="S22" s="123" t="s">
        <v>188</v>
      </c>
      <c r="T22" s="124">
        <f>L21/200</f>
        <v>2.1739130434782608</v>
      </c>
      <c r="X22" s="71"/>
      <c r="Y22" s="68"/>
      <c r="Z22" s="72"/>
    </row>
    <row r="23" spans="1:26" ht="12.75" thickBot="1">
      <c r="A23" s="6" t="s">
        <v>182</v>
      </c>
      <c r="B23" s="103" t="s">
        <v>181</v>
      </c>
      <c r="C23"/>
      <c r="D23" s="7" t="s">
        <v>183</v>
      </c>
      <c r="X23" s="71">
        <f>MIN(X13:X20)</f>
        <v>0.1</v>
      </c>
      <c r="Y23" s="68"/>
      <c r="Z23" s="72">
        <f>B7+B8+dec</f>
        <v>1.1</v>
      </c>
    </row>
    <row r="24" spans="1:26" ht="12.75" thickTop="1">
      <c r="A24" s="6"/>
      <c r="B24" s="1"/>
      <c r="C24"/>
      <c r="X24" s="71">
        <f>B4+dec</f>
        <v>1.3</v>
      </c>
      <c r="Y24" s="68"/>
      <c r="Z24" s="72">
        <f>Z23</f>
        <v>1.1</v>
      </c>
    </row>
    <row r="25" spans="1:26" ht="12">
      <c r="A25" s="25" t="s">
        <v>91</v>
      </c>
      <c r="J25" s="6" t="s">
        <v>115</v>
      </c>
      <c r="K25" s="52">
        <f>N80</f>
        <v>110.61565694029608</v>
      </c>
      <c r="L25" s="7" t="s">
        <v>113</v>
      </c>
      <c r="X25" s="71"/>
      <c r="Y25" s="68"/>
      <c r="Z25" s="72"/>
    </row>
    <row r="26" spans="1:26" ht="12">
      <c r="A26" s="6" t="s">
        <v>52</v>
      </c>
      <c r="B26" s="2">
        <f>B4+B5+B6</f>
        <v>2.4</v>
      </c>
      <c r="C26" s="7" t="s">
        <v>23</v>
      </c>
      <c r="D26" s="7" t="s">
        <v>88</v>
      </c>
      <c r="J26" s="6" t="s">
        <v>114</v>
      </c>
      <c r="K26" s="53" t="str">
        <f>IF(MAX(D65:E65)&lt;1.01,"OK","KO")</f>
        <v>OK</v>
      </c>
      <c r="L26" s="1"/>
      <c r="X26" s="71">
        <f>B4+B5+dec</f>
        <v>1.6</v>
      </c>
      <c r="Y26" s="68"/>
      <c r="Z26" s="72">
        <f>B28+dec</f>
        <v>4.1</v>
      </c>
    </row>
    <row r="27" spans="1:26" ht="13.5">
      <c r="A27" s="6" t="s">
        <v>51</v>
      </c>
      <c r="B27" s="2">
        <f>B28-B7-B8</f>
        <v>3</v>
      </c>
      <c r="C27" s="7" t="s">
        <v>23</v>
      </c>
      <c r="D27" s="7" t="s">
        <v>89</v>
      </c>
      <c r="J27" s="6" t="s">
        <v>151</v>
      </c>
      <c r="K27" s="65">
        <f>B92</f>
        <v>9.739960790449217</v>
      </c>
      <c r="L27" s="7" t="s">
        <v>142</v>
      </c>
      <c r="X27" s="63">
        <f>B26+dec</f>
        <v>2.5</v>
      </c>
      <c r="Y27" s="69"/>
      <c r="Z27" s="14">
        <f>Z26</f>
        <v>4.1</v>
      </c>
    </row>
    <row r="28" spans="1:12" ht="13.5">
      <c r="A28" s="6" t="s">
        <v>53</v>
      </c>
      <c r="B28" s="2">
        <f>B9+B10</f>
        <v>4</v>
      </c>
      <c r="C28" s="7" t="s">
        <v>23</v>
      </c>
      <c r="D28" s="7" t="s">
        <v>90</v>
      </c>
      <c r="J28" s="6" t="s">
        <v>152</v>
      </c>
      <c r="K28" s="65">
        <f>B108</f>
        <v>-3.9340139067100326</v>
      </c>
      <c r="L28" s="7" t="s">
        <v>142</v>
      </c>
    </row>
    <row r="29" spans="1:12" ht="13.5">
      <c r="A29" s="24" t="s">
        <v>70</v>
      </c>
      <c r="B29" s="4">
        <f>(TAN(PI()/4-B14/2))^2</f>
        <v>0.3333333333333334</v>
      </c>
      <c r="D29" s="7" t="s">
        <v>72</v>
      </c>
      <c r="J29" s="6" t="s">
        <v>176</v>
      </c>
      <c r="K29" s="65">
        <f>B124</f>
        <v>5.804279880563822</v>
      </c>
      <c r="L29" s="7" t="s">
        <v>142</v>
      </c>
    </row>
    <row r="30" spans="1:4" ht="13.5">
      <c r="A30" s="24" t="s">
        <v>71</v>
      </c>
      <c r="B30" s="2">
        <f>1/B29</f>
        <v>2.999999999999999</v>
      </c>
      <c r="D30" s="7" t="s">
        <v>73</v>
      </c>
    </row>
    <row r="31" ht="12"/>
    <row r="32" spans="1:2" ht="12">
      <c r="A32" s="8" t="s">
        <v>26</v>
      </c>
      <c r="B32" s="1"/>
    </row>
    <row r="33" spans="1:10" ht="13.5">
      <c r="A33" s="13" t="s">
        <v>20</v>
      </c>
      <c r="B33" s="126" t="s">
        <v>21</v>
      </c>
      <c r="C33" s="127"/>
      <c r="D33" s="12" t="s">
        <v>25</v>
      </c>
      <c r="E33" s="12" t="s">
        <v>37</v>
      </c>
      <c r="F33" s="2" t="s">
        <v>17</v>
      </c>
      <c r="G33" s="2" t="s">
        <v>35</v>
      </c>
      <c r="H33" s="10" t="s">
        <v>13</v>
      </c>
      <c r="I33" s="3" t="s">
        <v>33</v>
      </c>
      <c r="J33" s="3" t="s">
        <v>36</v>
      </c>
    </row>
    <row r="34" spans="1:10" ht="13.5">
      <c r="A34" s="11"/>
      <c r="B34" s="63"/>
      <c r="C34" s="64"/>
      <c r="D34" s="14" t="s">
        <v>16</v>
      </c>
      <c r="E34" s="2" t="s">
        <v>23</v>
      </c>
      <c r="F34" s="2" t="s">
        <v>22</v>
      </c>
      <c r="G34" s="2" t="s">
        <v>24</v>
      </c>
      <c r="H34" s="2"/>
      <c r="I34" s="2" t="s">
        <v>22</v>
      </c>
      <c r="J34" s="2" t="s">
        <v>24</v>
      </c>
    </row>
    <row r="35" spans="1:10" ht="13.5">
      <c r="A35" s="2" t="s">
        <v>14</v>
      </c>
      <c r="B35" s="2" t="s">
        <v>8</v>
      </c>
      <c r="C35" s="19" t="s">
        <v>42</v>
      </c>
      <c r="D35" s="2">
        <f>$B$29*B16*B28</f>
        <v>24.000000000000007</v>
      </c>
      <c r="E35" s="12">
        <f>B28/3</f>
        <v>1.3333333333333333</v>
      </c>
      <c r="F35" s="2">
        <f>B28/2*D35</f>
        <v>48.000000000000014</v>
      </c>
      <c r="G35" s="2">
        <f>F35*E35</f>
        <v>64.00000000000001</v>
      </c>
      <c r="H35" s="2">
        <f>B17</f>
        <v>1.35</v>
      </c>
      <c r="I35" s="2">
        <f>F35*H35</f>
        <v>64.80000000000003</v>
      </c>
      <c r="J35" s="2">
        <f>H35*G35</f>
        <v>86.40000000000002</v>
      </c>
    </row>
    <row r="36" spans="1:10" ht="13.5">
      <c r="A36" s="2" t="s">
        <v>15</v>
      </c>
      <c r="B36" s="2" t="s">
        <v>5</v>
      </c>
      <c r="C36" s="19" t="s">
        <v>43</v>
      </c>
      <c r="D36" s="2">
        <f>$B$29*B11</f>
        <v>3.3333333333333344</v>
      </c>
      <c r="E36" s="12">
        <f>B28/2</f>
        <v>2</v>
      </c>
      <c r="F36" s="5">
        <f>B28*D36</f>
        <v>13.333333333333337</v>
      </c>
      <c r="G36" s="2">
        <f>F36*E36</f>
        <v>26.666666666666675</v>
      </c>
      <c r="H36" s="2">
        <f>B18</f>
        <v>1.5</v>
      </c>
      <c r="I36" s="2">
        <f>F36*H36</f>
        <v>20.000000000000007</v>
      </c>
      <c r="J36" s="2">
        <f>H36*G36</f>
        <v>40.000000000000014</v>
      </c>
    </row>
    <row r="37" spans="1:10" ht="12">
      <c r="A37" s="1"/>
      <c r="E37" s="1" t="s">
        <v>9</v>
      </c>
      <c r="F37" s="5">
        <f>F35+F36</f>
        <v>61.33333333333335</v>
      </c>
      <c r="G37" s="2">
        <f>G35+G36</f>
        <v>90.66666666666669</v>
      </c>
      <c r="I37" s="2">
        <f>I35+I36</f>
        <v>84.80000000000004</v>
      </c>
      <c r="J37" s="2">
        <f>J35+J36</f>
        <v>126.40000000000003</v>
      </c>
    </row>
    <row r="38" ht="12"/>
    <row r="39" spans="1:10" ht="12">
      <c r="A39" s="8" t="s">
        <v>27</v>
      </c>
      <c r="B39" s="1"/>
      <c r="H39"/>
      <c r="J39"/>
    </row>
    <row r="40" spans="1:10" ht="13.5">
      <c r="A40" s="2"/>
      <c r="B40" s="2" t="s">
        <v>6</v>
      </c>
      <c r="C40" s="2" t="s">
        <v>7</v>
      </c>
      <c r="D40" s="3" t="s">
        <v>10</v>
      </c>
      <c r="E40" s="2" t="s">
        <v>12</v>
      </c>
      <c r="F40" s="2" t="s">
        <v>8</v>
      </c>
      <c r="G40" s="4" t="s">
        <v>35</v>
      </c>
      <c r="H40" s="3" t="s">
        <v>13</v>
      </c>
      <c r="I40" s="3" t="s">
        <v>34</v>
      </c>
      <c r="J40" s="3" t="s">
        <v>36</v>
      </c>
    </row>
    <row r="41" spans="1:10" ht="13.5">
      <c r="A41" s="2"/>
      <c r="B41" s="2" t="s">
        <v>23</v>
      </c>
      <c r="C41" s="2" t="s">
        <v>23</v>
      </c>
      <c r="D41" s="14" t="s">
        <v>38</v>
      </c>
      <c r="E41" s="2" t="s">
        <v>23</v>
      </c>
      <c r="F41" s="2" t="s">
        <v>22</v>
      </c>
      <c r="G41" s="4" t="s">
        <v>24</v>
      </c>
      <c r="H41" s="3"/>
      <c r="I41" s="2" t="s">
        <v>22</v>
      </c>
      <c r="J41" s="4" t="s">
        <v>24</v>
      </c>
    </row>
    <row r="42" spans="1:10" ht="12">
      <c r="A42" s="2" t="s">
        <v>0</v>
      </c>
      <c r="B42" s="4">
        <f>B6</f>
        <v>0.9</v>
      </c>
      <c r="C42" s="4">
        <f>B10</f>
        <v>3.7</v>
      </c>
      <c r="D42" s="4">
        <f>B16</f>
        <v>18</v>
      </c>
      <c r="E42" s="2">
        <f>B4+B5+B6/2</f>
        <v>1.95</v>
      </c>
      <c r="F42" s="2">
        <f>B42*C42*D42</f>
        <v>59.94</v>
      </c>
      <c r="G42" s="2">
        <f aca="true" t="shared" si="0" ref="G42:G48">F42*E42</f>
        <v>116.883</v>
      </c>
      <c r="H42" s="2">
        <f>B17</f>
        <v>1.35</v>
      </c>
      <c r="I42" s="2">
        <f aca="true" t="shared" si="1" ref="I42:I48">F42*H42</f>
        <v>80.919</v>
      </c>
      <c r="J42" s="2">
        <f aca="true" t="shared" si="2" ref="J42:J48">G42*H42</f>
        <v>157.79205000000002</v>
      </c>
    </row>
    <row r="43" spans="1:10" ht="12">
      <c r="A43" s="2" t="s">
        <v>1</v>
      </c>
      <c r="B43" s="4">
        <f>B42</f>
        <v>0.9</v>
      </c>
      <c r="C43" s="4">
        <f>B9</f>
        <v>0.3</v>
      </c>
      <c r="D43" s="4">
        <f>B$15</f>
        <v>25</v>
      </c>
      <c r="E43" s="2">
        <f>E42</f>
        <v>1.95</v>
      </c>
      <c r="F43" s="2">
        <f>B43*C43*D43</f>
        <v>6.75</v>
      </c>
      <c r="G43" s="2">
        <f t="shared" si="0"/>
        <v>13.1625</v>
      </c>
      <c r="H43" s="2">
        <f>H42</f>
        <v>1.35</v>
      </c>
      <c r="I43" s="2">
        <f t="shared" si="1"/>
        <v>9.1125</v>
      </c>
      <c r="J43" s="2">
        <f t="shared" si="2"/>
        <v>17.769375</v>
      </c>
    </row>
    <row r="44" spans="1:10" ht="12">
      <c r="A44" s="2" t="s">
        <v>2</v>
      </c>
      <c r="B44" s="4">
        <f>B5</f>
        <v>0.3</v>
      </c>
      <c r="C44" s="4">
        <v>4</v>
      </c>
      <c r="D44" s="4">
        <f>B$15</f>
        <v>25</v>
      </c>
      <c r="E44" s="2">
        <f>B4+B5/2</f>
        <v>1.3499999999999999</v>
      </c>
      <c r="F44" s="2">
        <f>B44*C44*D44</f>
        <v>30</v>
      </c>
      <c r="G44" s="2">
        <f t="shared" si="0"/>
        <v>40.49999999999999</v>
      </c>
      <c r="H44" s="2">
        <f>H43</f>
        <v>1.35</v>
      </c>
      <c r="I44" s="2">
        <f t="shared" si="1"/>
        <v>40.5</v>
      </c>
      <c r="J44" s="2">
        <f t="shared" si="2"/>
        <v>54.675</v>
      </c>
    </row>
    <row r="45" spans="1:10" ht="12">
      <c r="A45" s="2" t="s">
        <v>3</v>
      </c>
      <c r="B45" s="4">
        <v>1.2</v>
      </c>
      <c r="C45" s="4">
        <f>B7</f>
        <v>0.3</v>
      </c>
      <c r="D45" s="4">
        <f>B$15</f>
        <v>25</v>
      </c>
      <c r="E45" s="2">
        <f>B4/2</f>
        <v>0.6</v>
      </c>
      <c r="F45" s="2">
        <f>B45*C45*D45</f>
        <v>9</v>
      </c>
      <c r="G45" s="2">
        <f t="shared" si="0"/>
        <v>5.3999999999999995</v>
      </c>
      <c r="H45" s="2">
        <f>H44</f>
        <v>1.35</v>
      </c>
      <c r="I45" s="2">
        <f t="shared" si="1"/>
        <v>12.15</v>
      </c>
      <c r="J45" s="2">
        <f t="shared" si="2"/>
        <v>7.29</v>
      </c>
    </row>
    <row r="46" spans="1:10" ht="12">
      <c r="A46" s="2" t="s">
        <v>4</v>
      </c>
      <c r="B46" s="4">
        <f>B4</f>
        <v>1.2</v>
      </c>
      <c r="C46" s="4">
        <f>B8</f>
        <v>0.7</v>
      </c>
      <c r="D46" s="4">
        <f>B16</f>
        <v>18</v>
      </c>
      <c r="E46" s="2">
        <f>E45</f>
        <v>0.6</v>
      </c>
      <c r="F46" s="2">
        <f>B46*C46*D46</f>
        <v>15.12</v>
      </c>
      <c r="G46" s="2">
        <f t="shared" si="0"/>
        <v>9.072</v>
      </c>
      <c r="H46" s="2">
        <f>H45</f>
        <v>1.35</v>
      </c>
      <c r="I46" s="2">
        <f t="shared" si="1"/>
        <v>20.412</v>
      </c>
      <c r="J46" s="2">
        <f t="shared" si="2"/>
        <v>12.2472</v>
      </c>
    </row>
    <row r="47" spans="1:10" ht="12">
      <c r="A47" s="17"/>
      <c r="B47" s="21"/>
      <c r="C47" s="21"/>
      <c r="D47" s="21"/>
      <c r="E47" s="18" t="s">
        <v>40</v>
      </c>
      <c r="F47" s="2">
        <f>SUM(F42:F46)</f>
        <v>120.81</v>
      </c>
      <c r="G47" s="2">
        <f>SUM(G42:G46)</f>
        <v>185.0175</v>
      </c>
      <c r="H47" s="2"/>
      <c r="I47" s="2">
        <f>SUM(I42:I46)</f>
        <v>163.0935</v>
      </c>
      <c r="J47" s="2">
        <f>SUM(J42:J46)</f>
        <v>249.77362499999998</v>
      </c>
    </row>
    <row r="48" spans="1:10" ht="12">
      <c r="A48" s="2" t="s">
        <v>5</v>
      </c>
      <c r="B48" s="4">
        <f>B6</f>
        <v>0.9</v>
      </c>
      <c r="C48" s="4"/>
      <c r="D48" s="4">
        <v>10</v>
      </c>
      <c r="E48" s="2">
        <f>E42</f>
        <v>1.95</v>
      </c>
      <c r="F48" s="2">
        <f>B48*D48</f>
        <v>9</v>
      </c>
      <c r="G48" s="2">
        <f t="shared" si="0"/>
        <v>17.55</v>
      </c>
      <c r="H48" s="2">
        <f>B18</f>
        <v>1.5</v>
      </c>
      <c r="I48" s="2">
        <f t="shared" si="1"/>
        <v>13.5</v>
      </c>
      <c r="J48" s="2">
        <f t="shared" si="2"/>
        <v>26.325000000000003</v>
      </c>
    </row>
    <row r="49" spans="1:10" ht="12">
      <c r="A49" s="1"/>
      <c r="B49" s="1"/>
      <c r="E49" s="1" t="s">
        <v>9</v>
      </c>
      <c r="F49" s="2">
        <f>F47+F48</f>
        <v>129.81</v>
      </c>
      <c r="G49" s="2">
        <f>G47+G48</f>
        <v>202.56750000000002</v>
      </c>
      <c r="I49" s="2">
        <f>I47+I48</f>
        <v>176.5935</v>
      </c>
      <c r="J49" s="2">
        <f>J47+J48</f>
        <v>276.09862499999997</v>
      </c>
    </row>
    <row r="50" ht="12"/>
    <row r="51" spans="1:2" ht="12">
      <c r="A51" s="8" t="s">
        <v>30</v>
      </c>
      <c r="B51" s="1"/>
    </row>
    <row r="52" spans="1:6" ht="13.5">
      <c r="A52" s="13" t="s">
        <v>20</v>
      </c>
      <c r="B52" s="13" t="s">
        <v>21</v>
      </c>
      <c r="C52" s="12" t="s">
        <v>25</v>
      </c>
      <c r="D52" s="2" t="s">
        <v>18</v>
      </c>
      <c r="E52" s="2" t="s">
        <v>11</v>
      </c>
      <c r="F52" s="2" t="s">
        <v>19</v>
      </c>
    </row>
    <row r="53" spans="1:6" ht="13.5">
      <c r="A53" s="11"/>
      <c r="B53" s="11"/>
      <c r="C53" s="14" t="s">
        <v>16</v>
      </c>
      <c r="D53" s="2" t="s">
        <v>22</v>
      </c>
      <c r="E53" s="2" t="s">
        <v>23</v>
      </c>
      <c r="F53" s="2" t="s">
        <v>24</v>
      </c>
    </row>
    <row r="54" spans="1:6" ht="13.5">
      <c r="A54" s="2" t="s">
        <v>31</v>
      </c>
      <c r="B54" s="9" t="s">
        <v>65</v>
      </c>
      <c r="C54" s="2">
        <f>1/$B$29*18*0.7</f>
        <v>37.79999999999999</v>
      </c>
      <c r="D54" s="2">
        <f>C54*0.7/2*B12</f>
        <v>0</v>
      </c>
      <c r="E54" s="16">
        <f>0.3+0.7/3</f>
        <v>0.5333333333333333</v>
      </c>
      <c r="F54" s="2">
        <f>D54*E54</f>
        <v>0</v>
      </c>
    </row>
    <row r="55" spans="1:6" ht="13.5">
      <c r="A55" s="2" t="s">
        <v>32</v>
      </c>
      <c r="B55" s="9" t="s">
        <v>43</v>
      </c>
      <c r="C55" s="2">
        <f>1/$B$29*18*1</f>
        <v>53.999999999999986</v>
      </c>
      <c r="D55" s="2">
        <f>0.51*27</f>
        <v>13.77</v>
      </c>
      <c r="E55" s="16">
        <f>(9-0.49*27*(0.3+0.7/3))/0.51/27</f>
        <v>0.1411764705882353</v>
      </c>
      <c r="F55" s="2">
        <f>D55*E55</f>
        <v>1.944</v>
      </c>
    </row>
    <row r="56" spans="1:6" ht="12">
      <c r="A56" s="1"/>
      <c r="B56" s="1"/>
      <c r="C56" s="1" t="s">
        <v>9</v>
      </c>
      <c r="D56" s="2">
        <f>D54+D55</f>
        <v>13.77</v>
      </c>
      <c r="F56" s="2">
        <f>F54+F55</f>
        <v>1.944</v>
      </c>
    </row>
    <row r="57" ht="12"/>
    <row r="58" ht="12">
      <c r="A58" s="8" t="s">
        <v>29</v>
      </c>
    </row>
    <row r="59" spans="2:6" ht="13.5">
      <c r="B59" s="1"/>
      <c r="C59" s="6" t="s">
        <v>64</v>
      </c>
      <c r="D59" s="2">
        <v>0</v>
      </c>
      <c r="E59" s="2">
        <f>B11</f>
        <v>10</v>
      </c>
      <c r="F59" s="20" t="s">
        <v>67</v>
      </c>
    </row>
    <row r="60" spans="1:22" ht="12">
      <c r="A60" s="1"/>
      <c r="B60" s="1"/>
      <c r="C60" s="6" t="s">
        <v>61</v>
      </c>
      <c r="D60" s="2">
        <f>I35</f>
        <v>64.80000000000003</v>
      </c>
      <c r="E60" s="2">
        <f>I37</f>
        <v>84.80000000000004</v>
      </c>
      <c r="F60" s="7" t="s">
        <v>22</v>
      </c>
      <c r="Q60" s="30"/>
      <c r="R60" s="30"/>
      <c r="S60" s="30"/>
      <c r="T60" s="30"/>
      <c r="U60" s="30"/>
      <c r="V60" s="30"/>
    </row>
    <row r="61" spans="1:22" ht="12">
      <c r="A61" s="1"/>
      <c r="B61" s="1"/>
      <c r="C61" s="6" t="s">
        <v>62</v>
      </c>
      <c r="D61" s="2">
        <f>B17*D54*B12+B17*D55</f>
        <v>18.5895</v>
      </c>
      <c r="E61" s="5">
        <f>D61</f>
        <v>18.5895</v>
      </c>
      <c r="F61" s="20" t="s">
        <v>22</v>
      </c>
      <c r="H61" s="26"/>
      <c r="I61" s="26"/>
      <c r="M61" s="26"/>
      <c r="N61" s="26"/>
      <c r="O61" s="1"/>
      <c r="P61" s="30"/>
      <c r="Q61" s="31"/>
      <c r="R61" s="31"/>
      <c r="S61" s="31"/>
      <c r="T61" s="31"/>
      <c r="U61" s="31"/>
      <c r="V61" s="31"/>
    </row>
    <row r="62" spans="1:22" ht="13.5">
      <c r="A62" s="1"/>
      <c r="B62" s="1"/>
      <c r="C62" s="6" t="s">
        <v>63</v>
      </c>
      <c r="D62" s="2">
        <f>F47</f>
        <v>120.81</v>
      </c>
      <c r="E62" s="2">
        <f>F49</f>
        <v>129.81</v>
      </c>
      <c r="F62" s="7" t="s">
        <v>22</v>
      </c>
      <c r="M62" s="31"/>
      <c r="P62" s="31"/>
      <c r="Q62" s="31"/>
      <c r="R62" s="31"/>
      <c r="S62" s="31"/>
      <c r="T62" s="31"/>
      <c r="U62" s="31"/>
      <c r="V62" s="31"/>
    </row>
    <row r="63" spans="1:22" ht="15">
      <c r="A63" s="1"/>
      <c r="B63" s="1"/>
      <c r="C63" s="125" t="s">
        <v>197</v>
      </c>
      <c r="D63" s="5">
        <f>D62/B19*TAN(B14)</f>
        <v>63.40880547345334</v>
      </c>
      <c r="E63" s="5">
        <f>E62/B19*TAN(B14)</f>
        <v>68.13258040318665</v>
      </c>
      <c r="F63" s="7" t="s">
        <v>22</v>
      </c>
      <c r="M63" s="31"/>
      <c r="P63" s="31"/>
      <c r="Q63" s="32"/>
      <c r="R63" s="32"/>
      <c r="S63" s="32"/>
      <c r="T63" s="32"/>
      <c r="U63" s="32"/>
      <c r="V63" s="32"/>
    </row>
    <row r="64" spans="1:22" ht="13.5">
      <c r="A64" s="1"/>
      <c r="B64" s="1"/>
      <c r="C64" s="6" t="s">
        <v>60</v>
      </c>
      <c r="D64" s="5">
        <f>D60-D61</f>
        <v>46.210500000000025</v>
      </c>
      <c r="E64" s="5">
        <f>E60-E61</f>
        <v>66.21050000000004</v>
      </c>
      <c r="F64" s="7" t="s">
        <v>22</v>
      </c>
      <c r="M64" s="32"/>
      <c r="P64" s="32"/>
      <c r="Q64" s="31"/>
      <c r="R64" s="31"/>
      <c r="S64" s="31"/>
      <c r="T64" s="31"/>
      <c r="U64" s="31"/>
      <c r="V64" s="31"/>
    </row>
    <row r="65" spans="1:16" ht="12">
      <c r="A65" s="1"/>
      <c r="B65" s="1"/>
      <c r="D65" s="22">
        <f>D64/D63</f>
        <v>0.7287710224938153</v>
      </c>
      <c r="E65" s="22">
        <f>E64/E63</f>
        <v>0.9717891148139061</v>
      </c>
      <c r="F65" s="7" t="s">
        <v>68</v>
      </c>
      <c r="M65" s="31"/>
      <c r="P65" s="31"/>
    </row>
    <row r="66" spans="1:5" ht="12">
      <c r="A66" s="1"/>
      <c r="B66" s="1"/>
      <c r="D66" s="2" t="str">
        <f>IF(D64&lt;D63,"OK","KO")</f>
        <v>OK</v>
      </c>
      <c r="E66" s="2" t="str">
        <f>IF(E64&lt;E63,"OK","KO")</f>
        <v>OK</v>
      </c>
    </row>
    <row r="67" ht="12"/>
    <row r="68" ht="12">
      <c r="A68" s="8" t="s">
        <v>106</v>
      </c>
    </row>
    <row r="69" spans="5:53" ht="12">
      <c r="E69" s="1" t="s">
        <v>109</v>
      </c>
      <c r="F69" s="27" t="s">
        <v>110</v>
      </c>
      <c r="G69" s="12"/>
      <c r="H69" s="27" t="s">
        <v>111</v>
      </c>
      <c r="I69" s="12"/>
      <c r="J69" s="27"/>
      <c r="K69" s="35" t="s">
        <v>112</v>
      </c>
      <c r="L69" s="28"/>
      <c r="M69" s="36"/>
      <c r="N69" s="34" t="s">
        <v>105</v>
      </c>
      <c r="O69" s="29"/>
      <c r="AC69" s="61"/>
      <c r="AD69" s="70">
        <v>1</v>
      </c>
      <c r="AE69" s="70">
        <v>2</v>
      </c>
      <c r="AF69" s="74">
        <v>3</v>
      </c>
      <c r="AG69" s="70">
        <v>4</v>
      </c>
      <c r="AH69" s="70">
        <v>5</v>
      </c>
      <c r="AI69" s="70">
        <v>6</v>
      </c>
      <c r="AJ69" s="70">
        <v>7</v>
      </c>
      <c r="AK69" s="70">
        <v>8</v>
      </c>
      <c r="AL69" s="62" t="s">
        <v>154</v>
      </c>
      <c r="AR69" s="61"/>
      <c r="AS69" s="70">
        <v>1</v>
      </c>
      <c r="AT69" s="70">
        <v>2</v>
      </c>
      <c r="AU69" s="70">
        <v>3</v>
      </c>
      <c r="AV69" s="70">
        <v>4</v>
      </c>
      <c r="AW69" s="70">
        <v>5</v>
      </c>
      <c r="AX69" s="70">
        <v>6</v>
      </c>
      <c r="AY69" s="70">
        <v>7</v>
      </c>
      <c r="AZ69" s="70">
        <v>8</v>
      </c>
      <c r="BA69" s="62" t="s">
        <v>154</v>
      </c>
    </row>
    <row r="70" spans="1:53" ht="13.5">
      <c r="A70" s="105" t="s">
        <v>177</v>
      </c>
      <c r="B70" s="13" t="s">
        <v>55</v>
      </c>
      <c r="C70" s="13" t="s">
        <v>92</v>
      </c>
      <c r="D70" s="13" t="s">
        <v>93</v>
      </c>
      <c r="E70" s="13" t="s">
        <v>96</v>
      </c>
      <c r="F70" s="13" t="s">
        <v>92</v>
      </c>
      <c r="G70" s="13" t="s">
        <v>93</v>
      </c>
      <c r="H70" s="37" t="s">
        <v>101</v>
      </c>
      <c r="I70" s="38" t="s">
        <v>153</v>
      </c>
      <c r="J70" s="38" t="s">
        <v>97</v>
      </c>
      <c r="K70" s="38" t="s">
        <v>98</v>
      </c>
      <c r="L70" s="38" t="s">
        <v>104</v>
      </c>
      <c r="M70" s="13" t="s">
        <v>99</v>
      </c>
      <c r="N70" s="38" t="s">
        <v>100</v>
      </c>
      <c r="O70" s="13" t="s">
        <v>99</v>
      </c>
      <c r="AB70" s="1">
        <v>1</v>
      </c>
      <c r="AC70" s="71">
        <f>xy(X86,Y86,Z86,$B$26,AB70)</f>
        <v>0</v>
      </c>
      <c r="AD70" s="68">
        <v>0</v>
      </c>
      <c r="AE70" s="68"/>
      <c r="AF70" s="75"/>
      <c r="AG70" s="75"/>
      <c r="AH70" s="75"/>
      <c r="AI70" s="75"/>
      <c r="AJ70" s="75"/>
      <c r="AK70" s="75"/>
      <c r="AL70" s="72"/>
      <c r="AM70" s="1">
        <f>INDEX(J72:O72,1,1)</f>
        <v>138.38643229166675</v>
      </c>
      <c r="AN70" s="1">
        <f>INDEX(J72:O72,1,2)</f>
        <v>8.774817708333275</v>
      </c>
      <c r="AO70" s="1">
        <f>INDEX(J72:O72,1,5)</f>
        <v>104.16015592077086</v>
      </c>
      <c r="AP70" s="1">
        <f>INDEX(J72:O72,1,6)</f>
        <v>1.6954035680814972</v>
      </c>
      <c r="AR70" s="71">
        <f>yx(AM70,AN70,AO70,AP70,$B$26,AB70)</f>
        <v>0</v>
      </c>
      <c r="AS70" s="68">
        <v>0</v>
      </c>
      <c r="AT70" s="68"/>
      <c r="AU70" s="68"/>
      <c r="AV70" s="68"/>
      <c r="AW70" s="68"/>
      <c r="AX70" s="68"/>
      <c r="AY70" s="68"/>
      <c r="AZ70" s="68"/>
      <c r="BA70" s="72"/>
    </row>
    <row r="71" spans="1:53" ht="13.5">
      <c r="A71" s="106" t="s">
        <v>15</v>
      </c>
      <c r="B71" s="11" t="s">
        <v>16</v>
      </c>
      <c r="C71" s="41"/>
      <c r="D71" s="41"/>
      <c r="E71" s="41" t="s">
        <v>22</v>
      </c>
      <c r="F71" s="41" t="s">
        <v>24</v>
      </c>
      <c r="G71" s="41" t="s">
        <v>24</v>
      </c>
      <c r="H71" s="41" t="s">
        <v>23</v>
      </c>
      <c r="I71" s="41" t="s">
        <v>102</v>
      </c>
      <c r="J71" s="41" t="s">
        <v>113</v>
      </c>
      <c r="K71" s="41" t="s">
        <v>113</v>
      </c>
      <c r="L71" s="41" t="s">
        <v>113</v>
      </c>
      <c r="M71" s="41" t="s">
        <v>23</v>
      </c>
      <c r="N71" s="41" t="s">
        <v>113</v>
      </c>
      <c r="O71" s="41" t="s">
        <v>23</v>
      </c>
      <c r="AB71" s="1">
        <v>2</v>
      </c>
      <c r="AC71" s="71">
        <f>AC70</f>
        <v>0</v>
      </c>
      <c r="AD71" s="68">
        <f>xy(X86,Y86,Z86,$B$26,AB71)</f>
        <v>138.38643229166675</v>
      </c>
      <c r="AE71" s="68"/>
      <c r="AF71" s="75"/>
      <c r="AG71" s="75"/>
      <c r="AH71" s="75"/>
      <c r="AI71" s="75"/>
      <c r="AJ71" s="75"/>
      <c r="AK71" s="75"/>
      <c r="AL71" s="72"/>
      <c r="AR71" s="71">
        <f>AR70</f>
        <v>0</v>
      </c>
      <c r="AS71" s="68">
        <f>yx(AM70,AN70,AO70,AP70,$B$26,AB71)</f>
        <v>104.16015592077086</v>
      </c>
      <c r="AT71" s="68"/>
      <c r="AU71" s="68"/>
      <c r="AV71" s="68"/>
      <c r="AW71" s="68"/>
      <c r="AX71" s="68"/>
      <c r="AY71" s="68"/>
      <c r="AZ71" s="68"/>
      <c r="BA71" s="72"/>
    </row>
    <row r="72" spans="1:53" ht="12">
      <c r="A72" s="109">
        <v>1</v>
      </c>
      <c r="B72" s="2">
        <f>B$11</f>
        <v>10</v>
      </c>
      <c r="C72" s="2" t="s">
        <v>94</v>
      </c>
      <c r="D72" s="2" t="s">
        <v>94</v>
      </c>
      <c r="E72" s="43">
        <f>I49</f>
        <v>176.5935</v>
      </c>
      <c r="F72" s="45">
        <f>J37</f>
        <v>126.40000000000003</v>
      </c>
      <c r="G72" s="45">
        <f>J49</f>
        <v>276.09862499999997</v>
      </c>
      <c r="H72" s="46">
        <f aca="true" t="shared" si="3" ref="H72:H79">contr(F72,G72,E72,B$26,5,1)</f>
        <v>0.8477017840407486</v>
      </c>
      <c r="I72" s="44">
        <f aca="true" t="shared" si="4" ref="I72:I79">contr(F72,G72,E72,B$26,4,1)</f>
        <v>-0.14679092331635474</v>
      </c>
      <c r="J72" s="47">
        <f aca="true" t="shared" si="5" ref="J72:J79">contr(F72,G72,E72,B$26,1,1)</f>
        <v>138.38643229166675</v>
      </c>
      <c r="K72" s="48">
        <f aca="true" t="shared" si="6" ref="K72:K79">contr(F72,G72,E72,B$26,2,1)</f>
        <v>8.774817708333275</v>
      </c>
      <c r="L72" s="43">
        <f aca="true" t="shared" si="7" ref="L72:L79">0.75*J72+0.25*K72</f>
        <v>105.98352864583337</v>
      </c>
      <c r="M72" s="46">
        <f aca="true" t="shared" si="8" ref="M72:M79">contr(F72,G72,E72,B$26,3,1)</f>
        <v>2.4</v>
      </c>
      <c r="N72" s="48">
        <f aca="true" t="shared" si="9" ref="N72:N79">contr(F72,G72,E72,B$26,2,2)</f>
        <v>104.16015592077086</v>
      </c>
      <c r="O72" s="46">
        <f aca="true" t="shared" si="10" ref="O72:O79">contr(F72,G72,E72,B$26,3,2)</f>
        <v>1.6954035680814972</v>
      </c>
      <c r="AB72" s="1">
        <v>3</v>
      </c>
      <c r="AC72" s="71">
        <f>xy(X86,Y86,Z86,$B$26,AB72)</f>
        <v>2.4</v>
      </c>
      <c r="AD72" s="68">
        <f>xy(X86,Y86,Z86,$B$26,AB73)</f>
        <v>8.774817708333275</v>
      </c>
      <c r="AE72" s="68"/>
      <c r="AF72" s="75"/>
      <c r="AG72" s="75"/>
      <c r="AH72" s="75"/>
      <c r="AI72" s="75"/>
      <c r="AJ72" s="75"/>
      <c r="AK72" s="75"/>
      <c r="AL72" s="72"/>
      <c r="AR72" s="73">
        <f>yx(AM70,AN70,AO70,AP70,$B$26,AB72)</f>
        <v>1.6954035680814972</v>
      </c>
      <c r="AS72" s="68">
        <f>yx(AM70,AN70,AO70,AP70,$B$26,AB73)</f>
        <v>104.16015592077086</v>
      </c>
      <c r="AT72" s="68"/>
      <c r="AU72" s="68"/>
      <c r="AV72" s="68"/>
      <c r="AW72" s="68"/>
      <c r="AX72" s="68"/>
      <c r="AY72" s="68"/>
      <c r="AZ72" s="68"/>
      <c r="BA72" s="72"/>
    </row>
    <row r="73" spans="1:53" ht="12">
      <c r="A73" s="109">
        <v>2</v>
      </c>
      <c r="B73" s="2">
        <f>B$11</f>
        <v>10</v>
      </c>
      <c r="C73" s="2" t="s">
        <v>95</v>
      </c>
      <c r="D73" s="2" t="s">
        <v>94</v>
      </c>
      <c r="E73" s="43">
        <f>E72</f>
        <v>176.5935</v>
      </c>
      <c r="F73" s="45">
        <f>G37</f>
        <v>90.66666666666669</v>
      </c>
      <c r="G73" s="45">
        <f>G72</f>
        <v>276.09862499999997</v>
      </c>
      <c r="H73" s="46">
        <f t="shared" si="3"/>
        <v>1.0500497375799975</v>
      </c>
      <c r="I73" s="44">
        <f t="shared" si="4"/>
        <v>-0.06247927600833436</v>
      </c>
      <c r="J73" s="47">
        <f t="shared" si="5"/>
        <v>101.16421006944451</v>
      </c>
      <c r="K73" s="48">
        <f t="shared" si="6"/>
        <v>45.99703993055552</v>
      </c>
      <c r="L73" s="43">
        <f t="shared" si="7"/>
        <v>87.37241753472226</v>
      </c>
      <c r="M73" s="46">
        <f t="shared" si="8"/>
        <v>2.4</v>
      </c>
      <c r="N73" s="48">
        <f t="shared" si="9"/>
        <v>84.08815967469651</v>
      </c>
      <c r="O73" s="46">
        <f t="shared" si="10"/>
        <v>2.100099475159995</v>
      </c>
      <c r="AB73" s="1">
        <v>4</v>
      </c>
      <c r="AC73" s="71">
        <f>AC72</f>
        <v>2.4</v>
      </c>
      <c r="AD73" s="68">
        <v>0</v>
      </c>
      <c r="AE73" s="68"/>
      <c r="AF73" s="75"/>
      <c r="AG73" s="75"/>
      <c r="AH73" s="75"/>
      <c r="AI73" s="75"/>
      <c r="AJ73" s="75"/>
      <c r="AK73" s="75"/>
      <c r="AL73" s="72"/>
      <c r="AR73" s="71">
        <f>AR72</f>
        <v>1.6954035680814972</v>
      </c>
      <c r="AS73" s="68">
        <v>0</v>
      </c>
      <c r="AT73" s="68"/>
      <c r="AU73" s="68"/>
      <c r="AV73" s="68"/>
      <c r="AW73" s="68"/>
      <c r="AX73" s="68"/>
      <c r="AY73" s="68"/>
      <c r="AZ73" s="68"/>
      <c r="BA73" s="72"/>
    </row>
    <row r="74" spans="1:53" ht="12">
      <c r="A74" s="109">
        <v>3</v>
      </c>
      <c r="B74" s="2">
        <f>B$11</f>
        <v>10</v>
      </c>
      <c r="C74" s="2" t="s">
        <v>94</v>
      </c>
      <c r="D74" s="2" t="s">
        <v>95</v>
      </c>
      <c r="E74" s="43">
        <f>F49</f>
        <v>129.81</v>
      </c>
      <c r="F74" s="45">
        <f>F72</f>
        <v>126.40000000000003</v>
      </c>
      <c r="G74" s="45">
        <f>G49</f>
        <v>202.56750000000002</v>
      </c>
      <c r="H74" s="46">
        <f t="shared" si="3"/>
        <v>0.5867614205377089</v>
      </c>
      <c r="I74" s="44">
        <f t="shared" si="4"/>
        <v>-0.2555160747759546</v>
      </c>
      <c r="J74" s="47">
        <f t="shared" si="5"/>
        <v>147.48754258706143</v>
      </c>
      <c r="K74" s="48">
        <f t="shared" si="6"/>
        <v>0</v>
      </c>
      <c r="L74" s="43">
        <f t="shared" si="7"/>
        <v>110.61565694029608</v>
      </c>
      <c r="M74" s="46">
        <f t="shared" si="8"/>
        <v>1.7602842616131267</v>
      </c>
      <c r="N74" s="48">
        <f t="shared" si="9"/>
        <v>110.61565694029608</v>
      </c>
      <c r="O74" s="46">
        <f t="shared" si="10"/>
        <v>1.1735228410754177</v>
      </c>
      <c r="AC74" s="71"/>
      <c r="AD74" s="68"/>
      <c r="AE74" s="68"/>
      <c r="AF74" s="75"/>
      <c r="AG74" s="75"/>
      <c r="AH74" s="75"/>
      <c r="AI74" s="75"/>
      <c r="AJ74" s="75"/>
      <c r="AK74" s="75"/>
      <c r="AL74" s="72"/>
      <c r="AR74" s="71"/>
      <c r="AS74" s="68"/>
      <c r="AT74" s="68"/>
      <c r="AU74" s="68"/>
      <c r="AV74" s="68"/>
      <c r="AW74" s="68"/>
      <c r="AX74" s="68"/>
      <c r="AY74" s="68"/>
      <c r="AZ74" s="68"/>
      <c r="BA74" s="72"/>
    </row>
    <row r="75" spans="1:53" ht="12">
      <c r="A75" s="110">
        <v>4</v>
      </c>
      <c r="B75" s="2">
        <f>B$11</f>
        <v>10</v>
      </c>
      <c r="C75" s="2" t="s">
        <v>95</v>
      </c>
      <c r="D75" s="2" t="s">
        <v>95</v>
      </c>
      <c r="E75" s="43">
        <f>E74</f>
        <v>129.81</v>
      </c>
      <c r="F75" s="45">
        <f>F73</f>
        <v>90.66666666666669</v>
      </c>
      <c r="G75" s="45">
        <f>G74</f>
        <v>202.56750000000002</v>
      </c>
      <c r="H75" s="46">
        <f t="shared" si="3"/>
        <v>0.8620355391212798</v>
      </c>
      <c r="I75" s="44">
        <f t="shared" si="4"/>
        <v>-0.14081852536613337</v>
      </c>
      <c r="J75" s="47">
        <f t="shared" si="5"/>
        <v>99.78663194444444</v>
      </c>
      <c r="K75" s="48">
        <f t="shared" si="6"/>
        <v>8.388368055555567</v>
      </c>
      <c r="L75" s="43">
        <f t="shared" si="7"/>
        <v>76.93706597222223</v>
      </c>
      <c r="M75" s="46">
        <f t="shared" si="8"/>
        <v>2.4</v>
      </c>
      <c r="N75" s="48">
        <f t="shared" si="9"/>
        <v>75.29271944653377</v>
      </c>
      <c r="O75" s="46">
        <f t="shared" si="10"/>
        <v>1.7240710782425597</v>
      </c>
      <c r="AB75" s="1">
        <v>1</v>
      </c>
      <c r="AC75" s="71">
        <f>xy(X87,Y87,Z87,$B$26,AB75)</f>
        <v>0</v>
      </c>
      <c r="AD75" s="68"/>
      <c r="AE75" s="68">
        <v>0</v>
      </c>
      <c r="AF75" s="75"/>
      <c r="AG75" s="75"/>
      <c r="AH75" s="75"/>
      <c r="AI75" s="75"/>
      <c r="AJ75" s="75"/>
      <c r="AK75" s="75"/>
      <c r="AL75" s="72"/>
      <c r="AM75" s="1">
        <f>INDEX(J73:O73,1,1)</f>
        <v>101.16421006944451</v>
      </c>
      <c r="AN75" s="1">
        <f>INDEX(J73:O73,1,2)</f>
        <v>45.99703993055552</v>
      </c>
      <c r="AO75" s="1">
        <f>INDEX(J73:O73,1,5)</f>
        <v>84.08815967469651</v>
      </c>
      <c r="AP75" s="1">
        <f>INDEX(J73:O73,1,6)</f>
        <v>2.100099475159995</v>
      </c>
      <c r="AR75" s="71">
        <f>yx(AM75,AN75,AO75,AP75,$B$26,AB75)</f>
        <v>0</v>
      </c>
      <c r="AS75" s="68"/>
      <c r="AT75" s="68">
        <v>0</v>
      </c>
      <c r="AU75" s="68"/>
      <c r="AV75" s="68"/>
      <c r="AW75" s="68"/>
      <c r="AX75" s="68"/>
      <c r="AY75" s="68"/>
      <c r="AZ75" s="68"/>
      <c r="BA75" s="72"/>
    </row>
    <row r="76" spans="1:53" ht="12">
      <c r="A76" s="111">
        <v>5</v>
      </c>
      <c r="B76" s="2">
        <v>0</v>
      </c>
      <c r="C76" s="2" t="s">
        <v>94</v>
      </c>
      <c r="D76" s="2" t="s">
        <v>94</v>
      </c>
      <c r="E76" s="43">
        <f>I47</f>
        <v>163.0935</v>
      </c>
      <c r="F76" s="45">
        <f>J35</f>
        <v>86.40000000000002</v>
      </c>
      <c r="G76" s="45">
        <f>J47</f>
        <v>249.77362499999998</v>
      </c>
      <c r="H76" s="46">
        <f t="shared" si="3"/>
        <v>1.0017175730485883</v>
      </c>
      <c r="I76" s="44">
        <f t="shared" si="4"/>
        <v>-0.0826176778964215</v>
      </c>
      <c r="J76" s="47">
        <f t="shared" si="5"/>
        <v>101.64164062500006</v>
      </c>
      <c r="K76" s="48">
        <f t="shared" si="6"/>
        <v>34.26960937499996</v>
      </c>
      <c r="L76" s="43">
        <f t="shared" si="7"/>
        <v>84.79863281250005</v>
      </c>
      <c r="M76" s="46">
        <f t="shared" si="8"/>
        <v>2.4</v>
      </c>
      <c r="N76" s="48">
        <f t="shared" si="9"/>
        <v>81.40692765509124</v>
      </c>
      <c r="O76" s="46">
        <f t="shared" si="10"/>
        <v>2.0034351460971767</v>
      </c>
      <c r="AA76" s="66"/>
      <c r="AB76" s="1">
        <v>2</v>
      </c>
      <c r="AC76" s="71">
        <f>AC75</f>
        <v>0</v>
      </c>
      <c r="AD76" s="68"/>
      <c r="AE76" s="68">
        <f>xy(X87,Y87,Z87,$B$26,AB76)</f>
        <v>101.16421006944451</v>
      </c>
      <c r="AF76" s="75"/>
      <c r="AG76" s="75"/>
      <c r="AH76" s="75"/>
      <c r="AI76" s="75"/>
      <c r="AJ76" s="75"/>
      <c r="AK76" s="75"/>
      <c r="AL76" s="72"/>
      <c r="AR76" s="71">
        <f>AR75</f>
        <v>0</v>
      </c>
      <c r="AS76" s="68"/>
      <c r="AT76" s="68">
        <f>yx(AM75,AN75,AO75,AP75,$B$26,AB76)</f>
        <v>84.08815967469651</v>
      </c>
      <c r="AU76" s="68"/>
      <c r="AV76" s="68"/>
      <c r="AW76" s="68"/>
      <c r="AX76" s="68"/>
      <c r="AY76" s="68"/>
      <c r="AZ76" s="68"/>
      <c r="BA76" s="72"/>
    </row>
    <row r="77" spans="1:53" ht="12">
      <c r="A77" s="111">
        <v>6</v>
      </c>
      <c r="B77" s="2">
        <v>0</v>
      </c>
      <c r="C77" s="2" t="s">
        <v>95</v>
      </c>
      <c r="D77" s="2" t="s">
        <v>94</v>
      </c>
      <c r="E77" s="43">
        <f>E76</f>
        <v>163.0935</v>
      </c>
      <c r="F77" s="45">
        <f>G35</f>
        <v>64.00000000000001</v>
      </c>
      <c r="G77" s="45">
        <f>G76</f>
        <v>249.77362499999998</v>
      </c>
      <c r="H77" s="46">
        <f t="shared" si="3"/>
        <v>1.139062102413646</v>
      </c>
      <c r="I77" s="44">
        <f t="shared" si="4"/>
        <v>-0.025390790660980822</v>
      </c>
      <c r="J77" s="47">
        <f t="shared" si="5"/>
        <v>78.30830729166671</v>
      </c>
      <c r="K77" s="48">
        <f t="shared" si="6"/>
        <v>57.60294270833332</v>
      </c>
      <c r="L77" s="43">
        <f t="shared" si="7"/>
        <v>73.13196614583336</v>
      </c>
      <c r="M77" s="46">
        <f t="shared" si="8"/>
        <v>2.4</v>
      </c>
      <c r="N77" s="48">
        <f t="shared" si="9"/>
        <v>71.59113609978274</v>
      </c>
      <c r="O77" s="46">
        <f t="shared" si="10"/>
        <v>2.278124204827292</v>
      </c>
      <c r="AA77" s="66"/>
      <c r="AB77" s="1">
        <v>3</v>
      </c>
      <c r="AC77" s="71">
        <f>xy(X87,Y87,Z87,$B$26,AB77)</f>
        <v>2.4</v>
      </c>
      <c r="AD77" s="68"/>
      <c r="AE77" s="68">
        <f>xy(X87,Y87,Z87,$B$26,AB78)</f>
        <v>45.99703993055552</v>
      </c>
      <c r="AF77" s="75"/>
      <c r="AG77" s="75"/>
      <c r="AH77" s="75"/>
      <c r="AI77" s="75"/>
      <c r="AJ77" s="75"/>
      <c r="AK77" s="75"/>
      <c r="AL77" s="72"/>
      <c r="AR77" s="73">
        <f>yx(AM75,AN75,AO75,AP75,$B$26,AB77)</f>
        <v>2.100099475159995</v>
      </c>
      <c r="AS77" s="68"/>
      <c r="AT77" s="68">
        <f>yx(AM75,AN75,AO75,AP75,$B$26,AB78)</f>
        <v>84.08815967469651</v>
      </c>
      <c r="AU77" s="68"/>
      <c r="AV77" s="68"/>
      <c r="AW77" s="68"/>
      <c r="AX77" s="68"/>
      <c r="AY77" s="68"/>
      <c r="AZ77" s="68"/>
      <c r="BA77" s="72"/>
    </row>
    <row r="78" spans="1:53" ht="12">
      <c r="A78" s="111">
        <v>7</v>
      </c>
      <c r="B78" s="2">
        <v>0</v>
      </c>
      <c r="C78" s="2" t="s">
        <v>94</v>
      </c>
      <c r="D78" s="2" t="s">
        <v>95</v>
      </c>
      <c r="E78" s="43">
        <f>F47</f>
        <v>120.81</v>
      </c>
      <c r="F78" s="45">
        <f>F76</f>
        <v>86.40000000000002</v>
      </c>
      <c r="G78" s="45">
        <f>G47</f>
        <v>185.0175</v>
      </c>
      <c r="H78" s="46">
        <f t="shared" si="3"/>
        <v>0.816302458405761</v>
      </c>
      <c r="I78" s="44">
        <f t="shared" si="4"/>
        <v>-0.15987397566426625</v>
      </c>
      <c r="J78" s="47">
        <f t="shared" si="5"/>
        <v>98.62343750000004</v>
      </c>
      <c r="K78" s="48">
        <f t="shared" si="6"/>
        <v>2.0515624999999846</v>
      </c>
      <c r="L78" s="43">
        <f t="shared" si="7"/>
        <v>74.48046875000003</v>
      </c>
      <c r="M78" s="46">
        <f t="shared" si="8"/>
        <v>2.4</v>
      </c>
      <c r="N78" s="48">
        <f t="shared" si="9"/>
        <v>73.99830709559663</v>
      </c>
      <c r="O78" s="46">
        <f t="shared" si="10"/>
        <v>1.632604916811522</v>
      </c>
      <c r="AB78" s="1">
        <v>4</v>
      </c>
      <c r="AC78" s="71">
        <f>AC77</f>
        <v>2.4</v>
      </c>
      <c r="AD78" s="68"/>
      <c r="AE78" s="68">
        <v>0</v>
      </c>
      <c r="AF78" s="75"/>
      <c r="AG78" s="75"/>
      <c r="AH78" s="75"/>
      <c r="AI78" s="75"/>
      <c r="AJ78" s="75"/>
      <c r="AK78" s="75"/>
      <c r="AL78" s="72"/>
      <c r="AR78" s="71">
        <f>AR77</f>
        <v>2.100099475159995</v>
      </c>
      <c r="AS78" s="68"/>
      <c r="AT78" s="68">
        <v>0</v>
      </c>
      <c r="AU78" s="68"/>
      <c r="AV78" s="68"/>
      <c r="AW78" s="68"/>
      <c r="AX78" s="68"/>
      <c r="AY78" s="68"/>
      <c r="AZ78" s="68"/>
      <c r="BA78" s="72"/>
    </row>
    <row r="79" spans="1:53" ht="12">
      <c r="A79" s="111">
        <v>8</v>
      </c>
      <c r="B79" s="2">
        <v>0</v>
      </c>
      <c r="C79" s="2" t="s">
        <v>95</v>
      </c>
      <c r="D79" s="2" t="s">
        <v>95</v>
      </c>
      <c r="E79" s="2">
        <f>E78</f>
        <v>120.81</v>
      </c>
      <c r="F79" s="5">
        <f>F77</f>
        <v>64.00000000000001</v>
      </c>
      <c r="G79" s="5">
        <f>G78</f>
        <v>185.0175</v>
      </c>
      <c r="H79" s="16">
        <f t="shared" si="3"/>
        <v>1.0017175730485885</v>
      </c>
      <c r="I79" s="40">
        <f t="shared" si="4"/>
        <v>-0.08261767789642144</v>
      </c>
      <c r="J79" s="49">
        <f t="shared" si="5"/>
        <v>75.2901041666667</v>
      </c>
      <c r="K79" s="50">
        <f t="shared" si="6"/>
        <v>25.384895833333317</v>
      </c>
      <c r="L79" s="2">
        <f t="shared" si="7"/>
        <v>62.81380208333334</v>
      </c>
      <c r="M79" s="16">
        <f t="shared" si="8"/>
        <v>2.4</v>
      </c>
      <c r="N79" s="50">
        <f t="shared" si="9"/>
        <v>60.301427892660165</v>
      </c>
      <c r="O79" s="16">
        <f t="shared" si="10"/>
        <v>2.003435146097177</v>
      </c>
      <c r="AC79" s="71"/>
      <c r="AD79" s="68"/>
      <c r="AE79" s="68"/>
      <c r="AF79" s="75"/>
      <c r="AG79" s="75"/>
      <c r="AH79" s="75"/>
      <c r="AI79" s="75"/>
      <c r="AJ79" s="75"/>
      <c r="AK79" s="75"/>
      <c r="AL79" s="72"/>
      <c r="AR79" s="71"/>
      <c r="AS79" s="68"/>
      <c r="AT79" s="68"/>
      <c r="AU79" s="68"/>
      <c r="AV79" s="68"/>
      <c r="AW79" s="68"/>
      <c r="AX79" s="68"/>
      <c r="AY79" s="68"/>
      <c r="AZ79" s="68"/>
      <c r="BA79" s="72"/>
    </row>
    <row r="80" spans="9:53" ht="13.5">
      <c r="I80" s="42" t="s">
        <v>107</v>
      </c>
      <c r="J80" s="51">
        <f>MAX(J72:K79)</f>
        <v>147.48754258706143</v>
      </c>
      <c r="K80" s="7" t="s">
        <v>113</v>
      </c>
      <c r="M80" s="42" t="s">
        <v>107</v>
      </c>
      <c r="N80" s="51">
        <f>MAX(N72:N79)</f>
        <v>110.61565694029608</v>
      </c>
      <c r="O80" t="s">
        <v>113</v>
      </c>
      <c r="AB80" s="1">
        <v>1</v>
      </c>
      <c r="AC80" s="71">
        <f>xy(X88,Y88,Z88,$B$26,AB80)</f>
        <v>0</v>
      </c>
      <c r="AD80" s="68"/>
      <c r="AE80" s="68"/>
      <c r="AF80" s="68">
        <v>0</v>
      </c>
      <c r="AG80" s="75"/>
      <c r="AH80" s="75"/>
      <c r="AI80" s="75"/>
      <c r="AJ80" s="75"/>
      <c r="AK80" s="75"/>
      <c r="AL80" s="72"/>
      <c r="AM80" s="1">
        <f>INDEX(J74:O74,1,1)</f>
        <v>147.48754258706143</v>
      </c>
      <c r="AN80" s="1">
        <f>INDEX(J74:O74,1,2)</f>
        <v>0</v>
      </c>
      <c r="AO80" s="1">
        <f>INDEX(J74:O74,1,5)</f>
        <v>110.61565694029608</v>
      </c>
      <c r="AP80" s="1">
        <f>INDEX(J74:O74,1,6)</f>
        <v>1.1735228410754177</v>
      </c>
      <c r="AR80" s="71">
        <f>yx(AM80,AN80,AO80,AP80,$B$26,AB80)</f>
        <v>0</v>
      </c>
      <c r="AS80" s="68"/>
      <c r="AT80" s="68"/>
      <c r="AU80" s="68">
        <v>0</v>
      </c>
      <c r="AV80" s="68"/>
      <c r="AW80" s="68"/>
      <c r="AX80" s="68"/>
      <c r="AY80" s="68"/>
      <c r="AZ80" s="68"/>
      <c r="BA80" s="72"/>
    </row>
    <row r="81" spans="3:53" ht="13.5">
      <c r="C81"/>
      <c r="I81" s="39" t="s">
        <v>108</v>
      </c>
      <c r="J81" s="50">
        <f>MAX(L72:L79)</f>
        <v>110.61565694029608</v>
      </c>
      <c r="K81" s="7" t="s">
        <v>113</v>
      </c>
      <c r="AA81" s="66"/>
      <c r="AB81" s="1">
        <v>2</v>
      </c>
      <c r="AC81" s="71">
        <f>AC80</f>
        <v>0</v>
      </c>
      <c r="AD81" s="68"/>
      <c r="AE81" s="68"/>
      <c r="AF81" s="68">
        <f>xy(X88,Y88,Z88,$B$26,AB81)</f>
        <v>147.48754258706143</v>
      </c>
      <c r="AG81" s="75"/>
      <c r="AH81" s="75"/>
      <c r="AI81" s="75"/>
      <c r="AJ81" s="75"/>
      <c r="AK81" s="75"/>
      <c r="AL81" s="72"/>
      <c r="AR81" s="71">
        <f>AR80</f>
        <v>0</v>
      </c>
      <c r="AS81" s="68"/>
      <c r="AT81" s="68"/>
      <c r="AU81" s="68">
        <f>yx(AM80,AN80,AO80,AP80,$B$26,AB81)</f>
        <v>110.61565694029608</v>
      </c>
      <c r="AV81" s="68"/>
      <c r="AW81" s="68"/>
      <c r="AX81" s="68"/>
      <c r="AY81" s="68"/>
      <c r="AZ81" s="68"/>
      <c r="BA81" s="72"/>
    </row>
    <row r="82" spans="3:53" ht="12">
      <c r="C82" s="15"/>
      <c r="AA82" s="66"/>
      <c r="AB82" s="1">
        <v>3</v>
      </c>
      <c r="AC82" s="71">
        <f>xy(X88,Y88,Z88,$B$26,AB82)</f>
        <v>1.7602842616131267</v>
      </c>
      <c r="AD82" s="68"/>
      <c r="AE82" s="68"/>
      <c r="AF82" s="68">
        <f>xy(X88,Y88,Z88,$B$26,AB83)</f>
        <v>0</v>
      </c>
      <c r="AG82" s="75"/>
      <c r="AH82" s="75"/>
      <c r="AI82" s="75"/>
      <c r="AJ82" s="75"/>
      <c r="AK82" s="75"/>
      <c r="AL82" s="72"/>
      <c r="AR82" s="73">
        <f>yx(AM80,AN80,AO80,AP80,$B$26,AB82)</f>
        <v>1.1735228410754177</v>
      </c>
      <c r="AS82" s="68"/>
      <c r="AT82" s="68"/>
      <c r="AU82" s="68">
        <f>yx(AM80,AN80,AO80,AP80,$B$26,AB83)</f>
        <v>110.61565694029608</v>
      </c>
      <c r="AV82" s="68"/>
      <c r="AW82" s="68"/>
      <c r="AX82" s="68"/>
      <c r="AY82" s="68"/>
      <c r="AZ82" s="68"/>
      <c r="BA82" s="72"/>
    </row>
    <row r="83" spans="1:53" ht="12">
      <c r="A83" s="54" t="s">
        <v>116</v>
      </c>
      <c r="AB83" s="1">
        <v>4</v>
      </c>
      <c r="AC83" s="71">
        <f>AC82</f>
        <v>1.7602842616131267</v>
      </c>
      <c r="AD83" s="68"/>
      <c r="AE83" s="68"/>
      <c r="AF83" s="68">
        <v>0</v>
      </c>
      <c r="AG83" s="75"/>
      <c r="AH83" s="75"/>
      <c r="AI83" s="75"/>
      <c r="AJ83" s="75"/>
      <c r="AK83" s="75"/>
      <c r="AL83" s="72"/>
      <c r="AR83" s="71">
        <f>AR82</f>
        <v>1.1735228410754177</v>
      </c>
      <c r="AS83" s="68"/>
      <c r="AT83" s="68"/>
      <c r="AU83" s="68">
        <v>0</v>
      </c>
      <c r="AV83" s="68"/>
      <c r="AW83" s="68"/>
      <c r="AX83" s="68"/>
      <c r="AY83" s="68"/>
      <c r="AZ83" s="68"/>
      <c r="BA83" s="72"/>
    </row>
    <row r="84" spans="1:53" ht="13.5">
      <c r="A84" s="6" t="s">
        <v>117</v>
      </c>
      <c r="B84" s="2">
        <f>MIN(B10,B28-B7)</f>
        <v>3.7</v>
      </c>
      <c r="C84" s="7" t="s">
        <v>23</v>
      </c>
      <c r="D84" s="58" t="s">
        <v>146</v>
      </c>
      <c r="AC84" s="71"/>
      <c r="AD84" s="68"/>
      <c r="AE84" s="68"/>
      <c r="AF84" s="75"/>
      <c r="AG84" s="75"/>
      <c r="AH84" s="75"/>
      <c r="AI84" s="75"/>
      <c r="AJ84" s="75"/>
      <c r="AK84" s="75"/>
      <c r="AL84" s="72"/>
      <c r="AR84" s="71"/>
      <c r="AS84" s="68"/>
      <c r="AT84" s="68"/>
      <c r="AU84" s="68"/>
      <c r="AV84" s="68"/>
      <c r="AW84" s="68"/>
      <c r="AX84" s="68"/>
      <c r="AY84" s="68"/>
      <c r="AZ84" s="68"/>
      <c r="BA84" s="72"/>
    </row>
    <row r="85" spans="1:53" ht="13.5">
      <c r="A85" s="6" t="s">
        <v>19</v>
      </c>
      <c r="B85" s="2">
        <f>B17*B29*B16*B84^3/6+B18*B29*B11*B84^2/2</f>
        <v>102.60655000000004</v>
      </c>
      <c r="C85" s="7" t="s">
        <v>24</v>
      </c>
      <c r="D85" s="58" t="s">
        <v>143</v>
      </c>
      <c r="X85" s="38" t="s">
        <v>97</v>
      </c>
      <c r="Y85" s="38" t="s">
        <v>98</v>
      </c>
      <c r="Z85" s="13" t="s">
        <v>99</v>
      </c>
      <c r="AB85" s="1">
        <v>1</v>
      </c>
      <c r="AC85" s="71">
        <f>xy(X89,Y89,Z89,$B$26,AB85)</f>
        <v>0</v>
      </c>
      <c r="AD85" s="68"/>
      <c r="AE85" s="68"/>
      <c r="AF85" s="75"/>
      <c r="AG85" s="68">
        <v>0</v>
      </c>
      <c r="AH85" s="75"/>
      <c r="AI85" s="75"/>
      <c r="AJ85" s="75"/>
      <c r="AK85" s="75"/>
      <c r="AL85" s="72"/>
      <c r="AM85" s="1">
        <f>INDEX(J75:O75,1,1)</f>
        <v>99.78663194444444</v>
      </c>
      <c r="AN85" s="1">
        <f>INDEX(J75:O75,1,2)</f>
        <v>8.388368055555567</v>
      </c>
      <c r="AO85" s="1">
        <f>INDEX(J75:O75,1,5)</f>
        <v>75.29271944653377</v>
      </c>
      <c r="AP85" s="1">
        <f>INDEX(J75:O75,1,6)</f>
        <v>1.7240710782425597</v>
      </c>
      <c r="AR85" s="71">
        <f>yx(AM85,AN85,AO85,AP85,$B$26,AB85)</f>
        <v>0</v>
      </c>
      <c r="AS85" s="68"/>
      <c r="AT85" s="68"/>
      <c r="AU85" s="68"/>
      <c r="AV85" s="68">
        <v>0</v>
      </c>
      <c r="AW85" s="68"/>
      <c r="AX85" s="68"/>
      <c r="AY85" s="68"/>
      <c r="AZ85" s="68"/>
      <c r="BA85" s="72"/>
    </row>
    <row r="86" spans="1:53" ht="12">
      <c r="A86" s="6" t="s">
        <v>134</v>
      </c>
      <c r="B86" s="2">
        <f>B5-B22/1000</f>
        <v>0.255</v>
      </c>
      <c r="C86" s="7" t="s">
        <v>23</v>
      </c>
      <c r="D86" s="7"/>
      <c r="W86" s="68"/>
      <c r="X86" s="80">
        <f aca="true" t="shared" si="11" ref="X86:Y89">J72</f>
        <v>138.38643229166675</v>
      </c>
      <c r="Y86" s="77">
        <f t="shared" si="11"/>
        <v>8.774817708333275</v>
      </c>
      <c r="Z86" s="81">
        <f aca="true" t="shared" si="12" ref="Z86:Z93">M72</f>
        <v>2.4</v>
      </c>
      <c r="AA86" s="79"/>
      <c r="AB86" s="1">
        <v>2</v>
      </c>
      <c r="AC86" s="71">
        <f>AC85</f>
        <v>0</v>
      </c>
      <c r="AD86" s="68"/>
      <c r="AE86" s="68"/>
      <c r="AF86" s="75"/>
      <c r="AG86" s="68">
        <f>xy(X89,Y89,Z89,$B$26,AB86)</f>
        <v>99.78663194444444</v>
      </c>
      <c r="AH86" s="75"/>
      <c r="AI86" s="75"/>
      <c r="AJ86" s="75"/>
      <c r="AK86" s="75"/>
      <c r="AL86" s="72"/>
      <c r="AR86" s="71">
        <f>AR85</f>
        <v>0</v>
      </c>
      <c r="AS86" s="68"/>
      <c r="AT86" s="68"/>
      <c r="AU86" s="68"/>
      <c r="AV86" s="68">
        <f>yx(AM85,AN85,AO85,AP85,$B$26,AB86)</f>
        <v>75.29271944653377</v>
      </c>
      <c r="AW86" s="68"/>
      <c r="AX86" s="68"/>
      <c r="AY86" s="68"/>
      <c r="AZ86" s="68"/>
      <c r="BA86" s="72"/>
    </row>
    <row r="87" spans="1:53" ht="12">
      <c r="A87" s="55" t="s">
        <v>23</v>
      </c>
      <c r="B87" s="2">
        <f>B85/1000/B86^2/L20</f>
        <v>0.09467732410611307</v>
      </c>
      <c r="C87" s="7" t="s">
        <v>135</v>
      </c>
      <c r="D87" s="7" t="str">
        <f>IF(B87&lt;0.37,"OK","KO")</f>
        <v>OK</v>
      </c>
      <c r="W87" s="68"/>
      <c r="X87" s="78">
        <f t="shared" si="11"/>
        <v>101.16421006944451</v>
      </c>
      <c r="Y87" s="79">
        <f t="shared" si="11"/>
        <v>45.99703993055552</v>
      </c>
      <c r="Z87" s="82">
        <f t="shared" si="12"/>
        <v>2.4</v>
      </c>
      <c r="AB87" s="1">
        <v>3</v>
      </c>
      <c r="AC87" s="71">
        <f>xy(X89,Y89,Z89,$B$26,AB87)</f>
        <v>2.4</v>
      </c>
      <c r="AD87" s="68"/>
      <c r="AE87" s="68"/>
      <c r="AF87" s="75"/>
      <c r="AG87" s="68">
        <f>xy(X89,Y89,Z89,$B$26,AB88)</f>
        <v>8.388368055555567</v>
      </c>
      <c r="AH87" s="75"/>
      <c r="AI87" s="75"/>
      <c r="AJ87" s="75"/>
      <c r="AK87" s="75"/>
      <c r="AL87" s="72"/>
      <c r="AR87" s="73">
        <f>yx(AM85,AN85,AO85,AP85,$B$26,AB87)</f>
        <v>1.7240710782425597</v>
      </c>
      <c r="AS87" s="68"/>
      <c r="AT87" s="68"/>
      <c r="AU87" s="68"/>
      <c r="AV87" s="68">
        <f>yx(AM85,AN85,AO85,AP85,$B$26,AB88)</f>
        <v>75.29271944653377</v>
      </c>
      <c r="AW87" s="68"/>
      <c r="AX87" s="68"/>
      <c r="AY87" s="68"/>
      <c r="AZ87" s="68"/>
      <c r="BA87" s="72"/>
    </row>
    <row r="88" spans="1:53" ht="13.5">
      <c r="A88" s="55" t="s">
        <v>136</v>
      </c>
      <c r="B88" s="2">
        <f>1.25*(1-SQRT(1-2*B87))</f>
        <v>0.1245519282666141</v>
      </c>
      <c r="D88" s="59" t="s">
        <v>144</v>
      </c>
      <c r="W88" s="68"/>
      <c r="X88" s="78">
        <f t="shared" si="11"/>
        <v>147.48754258706143</v>
      </c>
      <c r="Y88" s="79">
        <f t="shared" si="11"/>
        <v>0</v>
      </c>
      <c r="Z88" s="82">
        <f t="shared" si="12"/>
        <v>1.7602842616131267</v>
      </c>
      <c r="AB88" s="1">
        <v>4</v>
      </c>
      <c r="AC88" s="71">
        <f>AC87</f>
        <v>2.4</v>
      </c>
      <c r="AD88" s="68"/>
      <c r="AE88" s="68"/>
      <c r="AF88" s="75"/>
      <c r="AG88" s="68">
        <v>0</v>
      </c>
      <c r="AH88" s="75"/>
      <c r="AI88" s="75"/>
      <c r="AJ88" s="75"/>
      <c r="AK88" s="75"/>
      <c r="AL88" s="72"/>
      <c r="AR88" s="71">
        <f>AR87</f>
        <v>1.7240710782425597</v>
      </c>
      <c r="AS88" s="68"/>
      <c r="AT88" s="68"/>
      <c r="AU88" s="68"/>
      <c r="AV88" s="68">
        <v>0</v>
      </c>
      <c r="AW88" s="68"/>
      <c r="AX88" s="68"/>
      <c r="AY88" s="68"/>
      <c r="AZ88" s="68"/>
      <c r="BA88" s="72"/>
    </row>
    <row r="89" spans="1:53" ht="13.5">
      <c r="A89" s="55" t="s">
        <v>138</v>
      </c>
      <c r="B89" s="2">
        <f>3.5*(1-B88)/B88</f>
        <v>24.600729139318897</v>
      </c>
      <c r="C89" s="1" t="str">
        <f>"≤ "&amp;0.9*T$20&amp;" ?"</f>
        <v>≤ 22,5 ?</v>
      </c>
      <c r="D89" s="58" t="s">
        <v>137</v>
      </c>
      <c r="H89" s="7"/>
      <c r="W89" s="68"/>
      <c r="X89" s="78">
        <f t="shared" si="11"/>
        <v>99.78663194444444</v>
      </c>
      <c r="Y89" s="79">
        <f t="shared" si="11"/>
        <v>8.388368055555567</v>
      </c>
      <c r="Z89" s="82">
        <f t="shared" si="12"/>
        <v>2.4</v>
      </c>
      <c r="AC89" s="71"/>
      <c r="AD89" s="68"/>
      <c r="AE89" s="68"/>
      <c r="AF89" s="75"/>
      <c r="AG89" s="75"/>
      <c r="AH89" s="75"/>
      <c r="AI89" s="75"/>
      <c r="AJ89" s="75"/>
      <c r="AK89" s="75"/>
      <c r="AL89" s="72"/>
      <c r="AR89" s="71"/>
      <c r="AS89" s="68"/>
      <c r="AT89" s="68"/>
      <c r="AU89" s="68"/>
      <c r="AV89" s="68"/>
      <c r="AW89" s="68"/>
      <c r="AX89" s="68"/>
      <c r="AY89" s="68"/>
      <c r="AZ89" s="68"/>
      <c r="BA89" s="72"/>
    </row>
    <row r="90" spans="1:53" ht="13.5">
      <c r="A90" s="55" t="s">
        <v>139</v>
      </c>
      <c r="B90" s="2">
        <f>L21*(1+(T21-1)*(MIN(0.9*T20,B89)-eso)/(T20-eso))</f>
        <v>454.14078674948246</v>
      </c>
      <c r="C90" s="7" t="s">
        <v>103</v>
      </c>
      <c r="D90" s="7" t="s">
        <v>149</v>
      </c>
      <c r="W90" s="68"/>
      <c r="X90" s="78">
        <f aca="true" t="shared" si="13" ref="X90:Y93">J76</f>
        <v>101.64164062500006</v>
      </c>
      <c r="Y90" s="79">
        <f t="shared" si="13"/>
        <v>34.26960937499996</v>
      </c>
      <c r="Z90" s="82">
        <f t="shared" si="12"/>
        <v>2.4</v>
      </c>
      <c r="AB90" s="1">
        <v>1</v>
      </c>
      <c r="AC90" s="71">
        <f>xy(X90,Y90,Z90,$B$26,AB90)</f>
        <v>0</v>
      </c>
      <c r="AD90" s="68"/>
      <c r="AE90" s="75"/>
      <c r="AF90" s="75"/>
      <c r="AG90" s="75"/>
      <c r="AH90" s="68">
        <v>0</v>
      </c>
      <c r="AI90" s="75"/>
      <c r="AJ90" s="75"/>
      <c r="AK90" s="75"/>
      <c r="AL90" s="72"/>
      <c r="AM90" s="1">
        <f>INDEX(J76:O76,1,1)</f>
        <v>101.64164062500006</v>
      </c>
      <c r="AN90" s="1">
        <f>INDEX(J76:O76,1,2)</f>
        <v>34.26960937499996</v>
      </c>
      <c r="AO90" s="1">
        <f>INDEX(J76:O76,1,5)</f>
        <v>81.40692765509124</v>
      </c>
      <c r="AP90" s="1">
        <f>INDEX(J76:O76,1,6)</f>
        <v>2.0034351460971767</v>
      </c>
      <c r="AR90" s="71">
        <f>yx(AM90,AN90,AO90,AP90,$B$26,AB90)</f>
        <v>0</v>
      </c>
      <c r="AS90" s="68"/>
      <c r="AT90" s="68"/>
      <c r="AU90" s="68"/>
      <c r="AV90" s="68"/>
      <c r="AW90" s="68">
        <v>0</v>
      </c>
      <c r="AX90" s="68"/>
      <c r="AY90" s="68"/>
      <c r="AZ90" s="68"/>
      <c r="BA90" s="72"/>
    </row>
    <row r="91" spans="1:53" ht="12">
      <c r="A91" s="6" t="s">
        <v>140</v>
      </c>
      <c r="B91" s="2">
        <f>B86*(1-0.4*B88)</f>
        <v>0.24229570331680536</v>
      </c>
      <c r="C91" s="7" t="s">
        <v>23</v>
      </c>
      <c r="D91" s="58" t="s">
        <v>148</v>
      </c>
      <c r="W91" s="68"/>
      <c r="X91" s="78">
        <f t="shared" si="13"/>
        <v>78.30830729166671</v>
      </c>
      <c r="Y91" s="79">
        <f t="shared" si="13"/>
        <v>57.60294270833332</v>
      </c>
      <c r="Z91" s="82">
        <f t="shared" si="12"/>
        <v>2.4</v>
      </c>
      <c r="AB91" s="1">
        <v>2</v>
      </c>
      <c r="AC91" s="71">
        <f>AC90</f>
        <v>0</v>
      </c>
      <c r="AD91" s="68"/>
      <c r="AE91" s="75"/>
      <c r="AF91" s="75"/>
      <c r="AG91" s="75"/>
      <c r="AH91" s="68">
        <f>xy(X90,Y90,Z90,$B$26,AB91)</f>
        <v>101.64164062500006</v>
      </c>
      <c r="AI91" s="75"/>
      <c r="AJ91" s="75"/>
      <c r="AK91" s="75"/>
      <c r="AL91" s="72"/>
      <c r="AR91" s="71">
        <f>AR90</f>
        <v>0</v>
      </c>
      <c r="AS91" s="68"/>
      <c r="AT91" s="68"/>
      <c r="AU91" s="68"/>
      <c r="AV91" s="68"/>
      <c r="AW91" s="68">
        <f>yx(AM90,AN90,AO90,AP90,$B$26,AB91)</f>
        <v>81.40692765509124</v>
      </c>
      <c r="AX91" s="68"/>
      <c r="AY91" s="68"/>
      <c r="AZ91" s="68"/>
      <c r="BA91" s="72"/>
    </row>
    <row r="92" spans="1:53" ht="13.5">
      <c r="A92" s="6" t="s">
        <v>141</v>
      </c>
      <c r="B92" s="5">
        <f>B85/B91/L21*10</f>
        <v>9.739960790449217</v>
      </c>
      <c r="C92" s="7" t="s">
        <v>142</v>
      </c>
      <c r="D92" s="58" t="s">
        <v>150</v>
      </c>
      <c r="W92" s="68"/>
      <c r="X92" s="78">
        <f t="shared" si="13"/>
        <v>98.62343750000004</v>
      </c>
      <c r="Y92" s="79">
        <f t="shared" si="13"/>
        <v>2.0515624999999846</v>
      </c>
      <c r="Z92" s="82">
        <f t="shared" si="12"/>
        <v>2.4</v>
      </c>
      <c r="AB92" s="1">
        <v>3</v>
      </c>
      <c r="AC92" s="71">
        <f>xy(X90,Y90,Z90,$B$26,AB92)</f>
        <v>2.4</v>
      </c>
      <c r="AD92" s="68"/>
      <c r="AE92" s="75"/>
      <c r="AF92" s="75"/>
      <c r="AG92" s="75"/>
      <c r="AH92" s="68">
        <f>xy(X90,Y90,Z90,$B$26,AB93)</f>
        <v>34.26960937499996</v>
      </c>
      <c r="AI92" s="75"/>
      <c r="AJ92" s="75"/>
      <c r="AK92" s="75"/>
      <c r="AL92" s="72"/>
      <c r="AR92" s="73">
        <f>yx(AM90,AN90,AO90,AP90,$B$26,AB92)</f>
        <v>2.0034351460971767</v>
      </c>
      <c r="AS92" s="68"/>
      <c r="AT92" s="68"/>
      <c r="AU92" s="68"/>
      <c r="AV92" s="68"/>
      <c r="AW92" s="68">
        <f>yx(AM90,AN90,AO90,AP90,$B$26,AB93)</f>
        <v>81.40692765509124</v>
      </c>
      <c r="AX92" s="68"/>
      <c r="AY92" s="68"/>
      <c r="AZ92" s="68"/>
      <c r="BA92" s="72"/>
    </row>
    <row r="93" spans="2:53" ht="12">
      <c r="B93" s="1"/>
      <c r="C93" s="7"/>
      <c r="W93" s="68"/>
      <c r="X93" s="83">
        <f t="shared" si="13"/>
        <v>75.2901041666667</v>
      </c>
      <c r="Y93" s="84">
        <f t="shared" si="13"/>
        <v>25.384895833333317</v>
      </c>
      <c r="Z93" s="85">
        <f t="shared" si="12"/>
        <v>2.4</v>
      </c>
      <c r="AB93" s="1">
        <v>4</v>
      </c>
      <c r="AC93" s="71">
        <f>AC92</f>
        <v>2.4</v>
      </c>
      <c r="AD93" s="68"/>
      <c r="AE93" s="75"/>
      <c r="AF93" s="75"/>
      <c r="AG93" s="75"/>
      <c r="AH93" s="68">
        <v>0</v>
      </c>
      <c r="AI93" s="75"/>
      <c r="AJ93" s="75"/>
      <c r="AK93" s="75"/>
      <c r="AL93" s="72"/>
      <c r="AR93" s="71">
        <f>AR92</f>
        <v>2.0034351460971767</v>
      </c>
      <c r="AS93" s="68"/>
      <c r="AT93" s="68"/>
      <c r="AU93" s="68"/>
      <c r="AV93" s="68"/>
      <c r="AW93" s="68">
        <v>0</v>
      </c>
      <c r="AX93" s="68"/>
      <c r="AY93" s="68"/>
      <c r="AZ93" s="68"/>
      <c r="BA93" s="72"/>
    </row>
    <row r="94" spans="1:53" ht="12">
      <c r="A94" s="54" t="s">
        <v>145</v>
      </c>
      <c r="B94" s="1"/>
      <c r="C94" s="7"/>
      <c r="AC94" s="71"/>
      <c r="AD94" s="68"/>
      <c r="AE94" s="68"/>
      <c r="AF94" s="75"/>
      <c r="AG94" s="75"/>
      <c r="AH94" s="75"/>
      <c r="AI94" s="75"/>
      <c r="AJ94" s="75"/>
      <c r="AK94" s="75"/>
      <c r="AL94" s="72"/>
      <c r="AR94" s="71"/>
      <c r="AS94" s="68"/>
      <c r="AT94" s="68"/>
      <c r="AU94" s="68"/>
      <c r="AV94" s="68"/>
      <c r="AW94" s="68"/>
      <c r="AX94" s="68"/>
      <c r="AY94" s="68"/>
      <c r="AZ94" s="68"/>
      <c r="BA94" s="72"/>
    </row>
    <row r="95" spans="1:53" ht="13.5">
      <c r="A95" s="108" t="s">
        <v>158</v>
      </c>
      <c r="B95" s="2">
        <f>murarr(I72:I79,O72:O79,N72:N79,B72:B79,D72:D79,B4,B5,B6,F42,F43,B102,L20,B17,B18,1)</f>
        <v>1</v>
      </c>
      <c r="C95" s="7"/>
      <c r="D95" s="7" t="str">
        <f>"N° du cas de charge (poussée "&amp;VLOOKUP(B95,A72:D79,3)&amp;" et poids "&amp;VLOOKUP(B95,A72:D79,4)&amp;")"</f>
        <v>N° du cas de charge (poussée maxi et poids maxi)</v>
      </c>
      <c r="W95" s="38" t="s">
        <v>97</v>
      </c>
      <c r="X95" s="38" t="s">
        <v>98</v>
      </c>
      <c r="Y95" s="38" t="s">
        <v>100</v>
      </c>
      <c r="Z95" s="13" t="s">
        <v>99</v>
      </c>
      <c r="AB95" s="1">
        <v>1</v>
      </c>
      <c r="AC95" s="71">
        <f>xy(X91,Y91,Z91,$B$26,AB95)</f>
        <v>0</v>
      </c>
      <c r="AD95" s="68"/>
      <c r="AE95" s="68"/>
      <c r="AF95" s="75"/>
      <c r="AG95" s="75"/>
      <c r="AH95" s="75"/>
      <c r="AI95" s="68">
        <v>0</v>
      </c>
      <c r="AJ95" s="75"/>
      <c r="AK95" s="75"/>
      <c r="AL95" s="72"/>
      <c r="AM95" s="1">
        <f>INDEX(J77:O77,1,1)</f>
        <v>78.30830729166671</v>
      </c>
      <c r="AN95" s="1">
        <f>INDEX(J77:O77,1,2)</f>
        <v>57.60294270833332</v>
      </c>
      <c r="AO95" s="1">
        <f>INDEX(J77:O77,1,5)</f>
        <v>71.59113609978274</v>
      </c>
      <c r="AP95" s="1">
        <f>INDEX(J77:O77,1,6)</f>
        <v>2.278124204827292</v>
      </c>
      <c r="AR95" s="71">
        <f>yx(AM95,AN95,AO95,AP95,$B$26,AB95)</f>
        <v>0</v>
      </c>
      <c r="AS95" s="68"/>
      <c r="AT95" s="68"/>
      <c r="AU95" s="68"/>
      <c r="AV95" s="68"/>
      <c r="AW95" s="68"/>
      <c r="AX95" s="68">
        <v>0</v>
      </c>
      <c r="AY95" s="68"/>
      <c r="AZ95" s="68"/>
      <c r="BA95" s="72"/>
    </row>
    <row r="96" spans="1:53" ht="12">
      <c r="A96" s="55" t="s">
        <v>160</v>
      </c>
      <c r="B96" s="2">
        <f>VLOOKUP(B95,A72:N79,14)</f>
        <v>104.16015592077086</v>
      </c>
      <c r="C96" s="7" t="s">
        <v>113</v>
      </c>
      <c r="D96" s="7" t="s">
        <v>195</v>
      </c>
      <c r="M96" s="1"/>
      <c r="W96" s="86">
        <f aca="true" t="shared" si="14" ref="W96:X99">J72</f>
        <v>138.38643229166675</v>
      </c>
      <c r="X96" s="77">
        <f t="shared" si="14"/>
        <v>8.774817708333275</v>
      </c>
      <c r="Y96" s="87">
        <f aca="true" t="shared" si="15" ref="Y96:Z99">N72</f>
        <v>104.16015592077086</v>
      </c>
      <c r="Z96" s="90">
        <f t="shared" si="15"/>
        <v>1.6954035680814972</v>
      </c>
      <c r="AB96" s="1">
        <v>2</v>
      </c>
      <c r="AC96" s="71">
        <f>AC95</f>
        <v>0</v>
      </c>
      <c r="AD96" s="68"/>
      <c r="AE96" s="68"/>
      <c r="AF96" s="75"/>
      <c r="AG96" s="75"/>
      <c r="AH96" s="75"/>
      <c r="AI96" s="68">
        <f>xy(X91,Y91,Z91,$B$26,AB96)</f>
        <v>78.30830729166671</v>
      </c>
      <c r="AJ96" s="75"/>
      <c r="AK96" s="75"/>
      <c r="AL96" s="72"/>
      <c r="AR96" s="71">
        <f>AR95</f>
        <v>0</v>
      </c>
      <c r="AS96" s="68"/>
      <c r="AT96" s="68"/>
      <c r="AU96" s="68"/>
      <c r="AV96" s="68"/>
      <c r="AW96" s="68"/>
      <c r="AX96" s="68">
        <f>yx(AM95,AN95,AO95,AP95,$B$26,AB96)</f>
        <v>71.59113609978274</v>
      </c>
      <c r="AY96" s="68"/>
      <c r="AZ96" s="68"/>
      <c r="BA96" s="72"/>
    </row>
    <row r="97" spans="1:53" ht="13.5">
      <c r="A97" s="6" t="s">
        <v>190</v>
      </c>
      <c r="B97" s="104">
        <f>murarr(I72:I79,O72:O79,N72:N79,B72:B79,D72:D79,B4,B5,B6,F42,F43,B102,L20,B17,B18,5)</f>
        <v>0.19540356808149723</v>
      </c>
      <c r="C97" s="7" t="s">
        <v>23</v>
      </c>
      <c r="D97" s="58" t="s">
        <v>189</v>
      </c>
      <c r="O97" s="107"/>
      <c r="W97" s="88">
        <f t="shared" si="14"/>
        <v>101.16421006944451</v>
      </c>
      <c r="X97" s="79">
        <f t="shared" si="14"/>
        <v>45.99703993055552</v>
      </c>
      <c r="Y97" s="89">
        <f t="shared" si="15"/>
        <v>84.08815967469651</v>
      </c>
      <c r="Z97" s="91">
        <f t="shared" si="15"/>
        <v>2.100099475159995</v>
      </c>
      <c r="AB97" s="1">
        <v>3</v>
      </c>
      <c r="AC97" s="71">
        <f>xy(X91,Y91,Z91,$B$26,AB97)</f>
        <v>2.4</v>
      </c>
      <c r="AD97" s="68"/>
      <c r="AE97" s="68"/>
      <c r="AF97" s="75"/>
      <c r="AG97" s="75"/>
      <c r="AH97" s="75"/>
      <c r="AI97" s="68">
        <f>xy(X91,Y91,Z91,$B$26,AB98)</f>
        <v>57.60294270833332</v>
      </c>
      <c r="AJ97" s="75"/>
      <c r="AK97" s="75"/>
      <c r="AL97" s="72"/>
      <c r="AR97" s="73">
        <f>yx(AM95,AN95,AO95,AP95,$B$26,AB97)</f>
        <v>2.278124204827292</v>
      </c>
      <c r="AS97" s="68"/>
      <c r="AT97" s="68"/>
      <c r="AU97" s="68"/>
      <c r="AV97" s="68"/>
      <c r="AW97" s="68"/>
      <c r="AX97" s="68">
        <f>yx(AM95,AN95,AO95,AP95,$B$26,AB98)</f>
        <v>71.59113609978274</v>
      </c>
      <c r="AY97" s="68"/>
      <c r="AZ97" s="68"/>
      <c r="BA97" s="72"/>
    </row>
    <row r="98" spans="1:53" ht="13.5">
      <c r="A98" s="6" t="s">
        <v>191</v>
      </c>
      <c r="B98" s="104">
        <f>murarr(I72:I79,O72:O79,N72:N79,B72:B79,D72:D79,B4,B5,B6,F42,F43,B102,L20,B17,B18,6)</f>
        <v>0.09770178404074861</v>
      </c>
      <c r="C98" s="7" t="s">
        <v>23</v>
      </c>
      <c r="D98" s="7" t="s">
        <v>192</v>
      </c>
      <c r="O98" s="107"/>
      <c r="W98" s="88">
        <f t="shared" si="14"/>
        <v>147.48754258706143</v>
      </c>
      <c r="X98" s="79">
        <f t="shared" si="14"/>
        <v>0</v>
      </c>
      <c r="Y98" s="89">
        <f t="shared" si="15"/>
        <v>110.61565694029608</v>
      </c>
      <c r="Z98" s="91">
        <f t="shared" si="15"/>
        <v>1.1735228410754177</v>
      </c>
      <c r="AB98" s="1">
        <v>4</v>
      </c>
      <c r="AC98" s="71">
        <f>AC97</f>
        <v>2.4</v>
      </c>
      <c r="AD98" s="68"/>
      <c r="AE98" s="68"/>
      <c r="AF98" s="75"/>
      <c r="AG98" s="75"/>
      <c r="AH98" s="75"/>
      <c r="AI98" s="68">
        <v>0</v>
      </c>
      <c r="AJ98" s="75"/>
      <c r="AK98" s="75"/>
      <c r="AL98" s="72"/>
      <c r="AR98" s="71">
        <f>AR97</f>
        <v>2.278124204827292</v>
      </c>
      <c r="AS98" s="68"/>
      <c r="AT98" s="68"/>
      <c r="AU98" s="68"/>
      <c r="AV98" s="68"/>
      <c r="AW98" s="68"/>
      <c r="AX98" s="68">
        <v>0</v>
      </c>
      <c r="AY98" s="68"/>
      <c r="AZ98" s="68"/>
      <c r="BA98" s="72"/>
    </row>
    <row r="99" spans="1:53" ht="13.5">
      <c r="A99" s="6" t="s">
        <v>178</v>
      </c>
      <c r="B99" s="45">
        <f>murarr(I72:I79,O72:O79,N72:N79,B72:B79,D72:D79,B4,B5,B6,F42,F43,B102,L20,B17,B18,2)</f>
        <v>46.589175</v>
      </c>
      <c r="C99" s="7" t="s">
        <v>24</v>
      </c>
      <c r="D99" s="58" t="s">
        <v>179</v>
      </c>
      <c r="J99" s="60"/>
      <c r="O99" s="107"/>
      <c r="W99" s="88">
        <f t="shared" si="14"/>
        <v>99.78663194444444</v>
      </c>
      <c r="X99" s="79">
        <f t="shared" si="14"/>
        <v>8.388368055555567</v>
      </c>
      <c r="Y99" s="89">
        <f t="shared" si="15"/>
        <v>75.29271944653377</v>
      </c>
      <c r="Z99" s="91">
        <f t="shared" si="15"/>
        <v>1.7240710782425597</v>
      </c>
      <c r="AC99" s="71"/>
      <c r="AD99" s="68"/>
      <c r="AE99" s="68"/>
      <c r="AF99" s="75"/>
      <c r="AG99" s="75"/>
      <c r="AH99" s="75"/>
      <c r="AI99" s="75"/>
      <c r="AJ99" s="75"/>
      <c r="AK99" s="75"/>
      <c r="AL99" s="72"/>
      <c r="AR99" s="71"/>
      <c r="AS99" s="68"/>
      <c r="AT99" s="68"/>
      <c r="AU99" s="68"/>
      <c r="AV99" s="68"/>
      <c r="AW99" s="68"/>
      <c r="AX99" s="68"/>
      <c r="AY99" s="68"/>
      <c r="AZ99" s="68"/>
      <c r="BA99" s="72"/>
    </row>
    <row r="100" spans="1:53" ht="13.5">
      <c r="A100" s="6" t="s">
        <v>159</v>
      </c>
      <c r="B100" s="45">
        <f>murarr(I72:I79,O72:O79,N72:N79,B72:B79,D72:D79,B4,B5,B6,F42,F43,B102,L20,B17,B18,3)</f>
        <v>1.9885504108671546</v>
      </c>
      <c r="C100" s="7" t="s">
        <v>24</v>
      </c>
      <c r="D100" s="58" t="s">
        <v>193</v>
      </c>
      <c r="K100" s="7"/>
      <c r="W100" s="78">
        <f aca="true" t="shared" si="16" ref="W100:X103">J76</f>
        <v>101.64164062500006</v>
      </c>
      <c r="X100" s="79">
        <f t="shared" si="16"/>
        <v>34.26960937499996</v>
      </c>
      <c r="Y100" s="79">
        <f aca="true" t="shared" si="17" ref="Y100:Z103">N76</f>
        <v>81.40692765509124</v>
      </c>
      <c r="Z100" s="91">
        <f t="shared" si="17"/>
        <v>2.0034351460971767</v>
      </c>
      <c r="AB100" s="1">
        <v>1</v>
      </c>
      <c r="AC100" s="71">
        <f>xy(X92,Y92,Z92,$B$26,AB100)</f>
        <v>0</v>
      </c>
      <c r="AD100" s="68"/>
      <c r="AE100" s="68"/>
      <c r="AF100" s="75"/>
      <c r="AG100" s="75"/>
      <c r="AH100" s="75"/>
      <c r="AI100" s="75"/>
      <c r="AJ100" s="68">
        <v>0</v>
      </c>
      <c r="AK100" s="75"/>
      <c r="AL100" s="72"/>
      <c r="AM100" s="1">
        <f>INDEX(J78:O78,1,1)</f>
        <v>98.62343750000004</v>
      </c>
      <c r="AN100" s="1">
        <f>INDEX(J78:O78,1,2)</f>
        <v>2.0515624999999846</v>
      </c>
      <c r="AO100" s="1">
        <f>INDEX(J78:O78,1,5)</f>
        <v>73.99830709559663</v>
      </c>
      <c r="AP100" s="1">
        <f>INDEX(J78:O78,1,6)</f>
        <v>1.632604916811522</v>
      </c>
      <c r="AR100" s="71">
        <f>yx(AM100,AN100,AO100,AP100,$B$26,AB100)</f>
        <v>0</v>
      </c>
      <c r="AS100" s="68"/>
      <c r="AT100" s="68"/>
      <c r="AU100" s="68"/>
      <c r="AV100" s="68"/>
      <c r="AW100" s="68"/>
      <c r="AX100" s="68"/>
      <c r="AY100" s="68">
        <v>0</v>
      </c>
      <c r="AZ100" s="68"/>
      <c r="BA100" s="72"/>
    </row>
    <row r="101" spans="1:53" ht="13.5">
      <c r="A101" s="98" t="s">
        <v>19</v>
      </c>
      <c r="B101" s="45">
        <f>B99-B100</f>
        <v>44.60062458913284</v>
      </c>
      <c r="C101" s="7" t="s">
        <v>24</v>
      </c>
      <c r="D101" s="58" t="s">
        <v>180</v>
      </c>
      <c r="I101" s="6"/>
      <c r="W101" s="78">
        <f t="shared" si="16"/>
        <v>78.30830729166671</v>
      </c>
      <c r="X101" s="79">
        <f t="shared" si="16"/>
        <v>57.60294270833332</v>
      </c>
      <c r="Y101" s="79">
        <f t="shared" si="17"/>
        <v>71.59113609978274</v>
      </c>
      <c r="Z101" s="91">
        <f t="shared" si="17"/>
        <v>2.278124204827292</v>
      </c>
      <c r="AB101" s="1">
        <v>2</v>
      </c>
      <c r="AC101" s="71">
        <f>AC100</f>
        <v>0</v>
      </c>
      <c r="AD101" s="68"/>
      <c r="AE101" s="68"/>
      <c r="AF101" s="75"/>
      <c r="AG101" s="75"/>
      <c r="AH101" s="75"/>
      <c r="AI101" s="75"/>
      <c r="AJ101" s="68">
        <f>xy(X92,Y92,Z92,$B$26,AB101)</f>
        <v>98.62343750000004</v>
      </c>
      <c r="AK101" s="75"/>
      <c r="AL101" s="72"/>
      <c r="AR101" s="71">
        <f>AR100</f>
        <v>0</v>
      </c>
      <c r="AS101" s="68"/>
      <c r="AT101" s="68"/>
      <c r="AU101" s="68"/>
      <c r="AV101" s="68"/>
      <c r="AW101" s="68"/>
      <c r="AX101" s="68"/>
      <c r="AY101" s="68">
        <f>yx(AM100,AN100,AO100,AP100,$B$26,AB101)</f>
        <v>73.99830709559663</v>
      </c>
      <c r="AZ101" s="68"/>
      <c r="BA101" s="72"/>
    </row>
    <row r="102" spans="1:53" ht="13.5">
      <c r="A102" s="6" t="s">
        <v>134</v>
      </c>
      <c r="B102" s="43">
        <f>B9-B22/1000</f>
        <v>0.255</v>
      </c>
      <c r="C102" s="7" t="s">
        <v>23</v>
      </c>
      <c r="D102" s="58" t="s">
        <v>147</v>
      </c>
      <c r="W102" s="78">
        <f t="shared" si="16"/>
        <v>98.62343750000004</v>
      </c>
      <c r="X102" s="79">
        <f t="shared" si="16"/>
        <v>2.0515624999999846</v>
      </c>
      <c r="Y102" s="79">
        <f t="shared" si="17"/>
        <v>73.99830709559663</v>
      </c>
      <c r="Z102" s="91">
        <f t="shared" si="17"/>
        <v>1.632604916811522</v>
      </c>
      <c r="AB102" s="1">
        <v>3</v>
      </c>
      <c r="AC102" s="71">
        <f>xy(X92,Y92,Z92,$B$26,AB102)</f>
        <v>2.4</v>
      </c>
      <c r="AD102" s="68"/>
      <c r="AE102" s="68"/>
      <c r="AF102" s="75"/>
      <c r="AG102" s="75"/>
      <c r="AH102" s="75"/>
      <c r="AI102" s="75"/>
      <c r="AJ102" s="68">
        <f>xy(X92,Y92,Z92,$B$26,AB103)</f>
        <v>2.0515624999999846</v>
      </c>
      <c r="AK102" s="75"/>
      <c r="AL102" s="72"/>
      <c r="AR102" s="73">
        <f>yx(AM100,AN100,AO100,AP100,$B$26,AB102)</f>
        <v>1.632604916811522</v>
      </c>
      <c r="AS102" s="68"/>
      <c r="AT102" s="68"/>
      <c r="AU102" s="68"/>
      <c r="AV102" s="68"/>
      <c r="AW102" s="68"/>
      <c r="AX102" s="68"/>
      <c r="AY102" s="68">
        <f>yx(AM100,AN100,AO100,AP100,$B$26,AB103)</f>
        <v>73.99830709559663</v>
      </c>
      <c r="AZ102" s="68"/>
      <c r="BA102" s="72"/>
    </row>
    <row r="103" spans="1:53" ht="12">
      <c r="A103" s="55" t="s">
        <v>23</v>
      </c>
      <c r="B103" s="43">
        <f>B101/1000/B102^2/L$20</f>
        <v>0.041153978859638146</v>
      </c>
      <c r="C103" s="7" t="s">
        <v>135</v>
      </c>
      <c r="D103" s="7" t="str">
        <f>IF(B103&lt;0.37,"OK","KO")</f>
        <v>OK</v>
      </c>
      <c r="W103" s="83">
        <f t="shared" si="16"/>
        <v>75.2901041666667</v>
      </c>
      <c r="X103" s="84">
        <f t="shared" si="16"/>
        <v>25.384895833333317</v>
      </c>
      <c r="Y103" s="84">
        <f t="shared" si="17"/>
        <v>60.301427892660165</v>
      </c>
      <c r="Z103" s="92">
        <f t="shared" si="17"/>
        <v>2.003435146097177</v>
      </c>
      <c r="AB103" s="1">
        <v>4</v>
      </c>
      <c r="AC103" s="71">
        <f>AC102</f>
        <v>2.4</v>
      </c>
      <c r="AD103" s="68"/>
      <c r="AE103" s="68"/>
      <c r="AF103" s="75"/>
      <c r="AG103" s="75"/>
      <c r="AH103" s="75"/>
      <c r="AI103" s="75"/>
      <c r="AJ103" s="68">
        <v>0</v>
      </c>
      <c r="AK103" s="75"/>
      <c r="AL103" s="72"/>
      <c r="AR103" s="71">
        <f>AR102</f>
        <v>1.632604916811522</v>
      </c>
      <c r="AS103" s="68"/>
      <c r="AT103" s="68"/>
      <c r="AU103" s="68"/>
      <c r="AV103" s="68"/>
      <c r="AW103" s="68"/>
      <c r="AX103" s="68"/>
      <c r="AY103" s="68">
        <v>0</v>
      </c>
      <c r="AZ103" s="68"/>
      <c r="BA103" s="72"/>
    </row>
    <row r="104" spans="1:53" ht="14.25">
      <c r="A104" s="55" t="s">
        <v>136</v>
      </c>
      <c r="B104" s="43">
        <f>1.25*(1-SQRT(1-2*B103))</f>
        <v>0.052546946196373456</v>
      </c>
      <c r="D104" s="59" t="s">
        <v>144</v>
      </c>
      <c r="AC104" s="71"/>
      <c r="AD104" s="68"/>
      <c r="AE104" s="68"/>
      <c r="AF104" s="75"/>
      <c r="AG104" s="75"/>
      <c r="AH104" s="75"/>
      <c r="AI104" s="75"/>
      <c r="AJ104" s="75"/>
      <c r="AK104" s="68"/>
      <c r="AL104" s="72"/>
      <c r="AR104" s="71"/>
      <c r="AS104" s="68"/>
      <c r="AT104" s="68"/>
      <c r="AU104" s="68"/>
      <c r="AV104" s="68"/>
      <c r="AW104" s="68"/>
      <c r="AX104" s="68"/>
      <c r="AY104" s="68"/>
      <c r="AZ104" s="68"/>
      <c r="BA104" s="72"/>
    </row>
    <row r="105" spans="1:53" ht="13.5">
      <c r="A105" s="55" t="s">
        <v>138</v>
      </c>
      <c r="B105" s="43">
        <f>3.5*(1-B104)/B104</f>
        <v>63.10710570924773</v>
      </c>
      <c r="C105" s="1" t="str">
        <f>"≤ "&amp;0.9*T$20&amp;" ?"</f>
        <v>≤ 22,5 ?</v>
      </c>
      <c r="D105" s="58" t="s">
        <v>194</v>
      </c>
      <c r="AB105" s="1">
        <v>1</v>
      </c>
      <c r="AC105" s="71">
        <f>xy(X93,Y93,Z93,$B$26,AB105)</f>
        <v>0</v>
      </c>
      <c r="AD105" s="68"/>
      <c r="AE105" s="68"/>
      <c r="AF105" s="75"/>
      <c r="AG105" s="75"/>
      <c r="AH105" s="75"/>
      <c r="AI105" s="75"/>
      <c r="AJ105" s="75"/>
      <c r="AK105" s="68">
        <v>0</v>
      </c>
      <c r="AL105" s="72"/>
      <c r="AM105" s="1">
        <f>INDEX(J79:O79,1,1)</f>
        <v>75.2901041666667</v>
      </c>
      <c r="AN105" s="1">
        <f>INDEX(J79:O79,1,2)</f>
        <v>25.384895833333317</v>
      </c>
      <c r="AO105" s="1">
        <f>INDEX(J79:O79,1,5)</f>
        <v>60.301427892660165</v>
      </c>
      <c r="AP105" s="1">
        <f>INDEX(J79:O79,1,6)</f>
        <v>2.003435146097177</v>
      </c>
      <c r="AR105" s="71">
        <f>yx(AM105,AN105,AO105,AP105,$B$26,AB105)</f>
        <v>0</v>
      </c>
      <c r="AS105" s="68"/>
      <c r="AT105" s="68"/>
      <c r="AU105" s="68"/>
      <c r="AV105" s="68"/>
      <c r="AW105" s="68"/>
      <c r="AX105" s="68"/>
      <c r="AY105" s="68"/>
      <c r="AZ105" s="68">
        <v>0</v>
      </c>
      <c r="BA105" s="72"/>
    </row>
    <row r="106" spans="1:53" ht="13.5">
      <c r="A106" s="55" t="s">
        <v>139</v>
      </c>
      <c r="B106" s="45">
        <f>L21*(1+(T21-1)*(MIN(B105,0.9*T20)-eso)/(T20-eso))</f>
        <v>454.14078674948246</v>
      </c>
      <c r="C106" s="7" t="s">
        <v>103</v>
      </c>
      <c r="D106" s="7" t="s">
        <v>149</v>
      </c>
      <c r="X106" s="26" t="s">
        <v>160</v>
      </c>
      <c r="AB106" s="1">
        <v>2</v>
      </c>
      <c r="AC106" s="71">
        <f>AC105</f>
        <v>0</v>
      </c>
      <c r="AD106" s="68"/>
      <c r="AE106" s="68"/>
      <c r="AF106" s="75"/>
      <c r="AG106" s="75"/>
      <c r="AH106" s="75"/>
      <c r="AI106" s="75"/>
      <c r="AJ106" s="75"/>
      <c r="AK106" s="68">
        <f>xy(X93,Y93,Z93,$B$26,AB106)</f>
        <v>75.2901041666667</v>
      </c>
      <c r="AL106" s="72"/>
      <c r="AR106" s="71">
        <f>AR105</f>
        <v>0</v>
      </c>
      <c r="AS106" s="68"/>
      <c r="AT106" s="68"/>
      <c r="AU106" s="68"/>
      <c r="AV106" s="68"/>
      <c r="AW106" s="68"/>
      <c r="AX106" s="68"/>
      <c r="AY106" s="68"/>
      <c r="AZ106" s="68">
        <f>yx(AM105,AN105,AO105,AP105,$B$26,AB106)</f>
        <v>60.301427892660165</v>
      </c>
      <c r="BA106" s="72"/>
    </row>
    <row r="107" spans="1:53" ht="13.5">
      <c r="A107" s="6" t="s">
        <v>140</v>
      </c>
      <c r="B107" s="43">
        <f>B102*(1-0.4*B104)</f>
        <v>0.24964021148796992</v>
      </c>
      <c r="C107" s="7" t="s">
        <v>23</v>
      </c>
      <c r="D107" s="58" t="s">
        <v>148</v>
      </c>
      <c r="W107" s="1">
        <v>1</v>
      </c>
      <c r="X107" s="1">
        <v>2</v>
      </c>
      <c r="Y107" s="1">
        <v>3</v>
      </c>
      <c r="Z107" s="1" t="s">
        <v>99</v>
      </c>
      <c r="AB107" s="1">
        <v>3</v>
      </c>
      <c r="AC107" s="71">
        <f>xy(X93,Y93,Z93,$B$26,AB107)</f>
        <v>2.4</v>
      </c>
      <c r="AD107" s="68"/>
      <c r="AE107" s="68"/>
      <c r="AF107" s="75"/>
      <c r="AG107" s="75"/>
      <c r="AH107" s="75"/>
      <c r="AI107" s="75"/>
      <c r="AJ107" s="75"/>
      <c r="AK107" s="68">
        <f>xy(X93,Y93,Z93,$B$26,AB108)</f>
        <v>25.384895833333317</v>
      </c>
      <c r="AL107" s="72"/>
      <c r="AR107" s="73">
        <f>yx(AM105,AN105,AO105,AP105,$B$26,AB107)</f>
        <v>2.003435146097177</v>
      </c>
      <c r="AS107" s="68"/>
      <c r="AT107" s="68"/>
      <c r="AU107" s="68"/>
      <c r="AV107" s="68"/>
      <c r="AW107" s="68"/>
      <c r="AX107" s="68"/>
      <c r="AY107" s="68"/>
      <c r="AZ107" s="68">
        <f>yx(AM105,AN105,AO105,AP105,$B$26,AB108)</f>
        <v>60.301427892660165</v>
      </c>
      <c r="BA107" s="72"/>
    </row>
    <row r="108" spans="1:53" ht="14.25">
      <c r="A108" s="6" t="s">
        <v>141</v>
      </c>
      <c r="B108" s="45">
        <f>-B101/B107/B106*10*SIGN(B101)</f>
        <v>-3.9340139067100326</v>
      </c>
      <c r="C108" s="7" t="s">
        <v>142</v>
      </c>
      <c r="D108" s="58" t="s">
        <v>150</v>
      </c>
      <c r="F108" s="7" t="s">
        <v>174</v>
      </c>
      <c r="W108" s="61">
        <f aca="true" t="shared" si="18" ref="W108:Y115">yx($W96,$X96,$Y96,$Z96,$B$26,W$107)</f>
        <v>0</v>
      </c>
      <c r="X108" s="70">
        <f t="shared" si="18"/>
        <v>104.16015592077086</v>
      </c>
      <c r="Y108" s="62">
        <f t="shared" si="18"/>
        <v>1.6954035680814972</v>
      </c>
      <c r="Z108" s="67">
        <f>Y108-W108</f>
        <v>1.6954035680814972</v>
      </c>
      <c r="AB108" s="1">
        <v>4</v>
      </c>
      <c r="AC108" s="71">
        <f>AC107</f>
        <v>2.4</v>
      </c>
      <c r="AD108" s="68"/>
      <c r="AE108" s="68"/>
      <c r="AF108" s="75"/>
      <c r="AG108" s="75"/>
      <c r="AH108" s="75"/>
      <c r="AI108" s="75"/>
      <c r="AJ108" s="75"/>
      <c r="AK108" s="68">
        <v>0</v>
      </c>
      <c r="AL108" s="72"/>
      <c r="AR108" s="71">
        <f>AR107</f>
        <v>2.003435146097177</v>
      </c>
      <c r="AS108" s="68"/>
      <c r="AT108" s="68"/>
      <c r="AU108" s="68"/>
      <c r="AV108" s="68"/>
      <c r="AW108" s="68"/>
      <c r="AX108" s="68"/>
      <c r="AY108" s="68"/>
      <c r="AZ108" s="68">
        <v>0</v>
      </c>
      <c r="BA108" s="72"/>
    </row>
    <row r="109" spans="1:53" ht="12">
      <c r="A109" s="6"/>
      <c r="B109" s="97"/>
      <c r="C109" s="7"/>
      <c r="D109" s="58"/>
      <c r="W109" s="71">
        <f t="shared" si="18"/>
        <v>0</v>
      </c>
      <c r="X109" s="68">
        <f t="shared" si="18"/>
        <v>84.08815967469651</v>
      </c>
      <c r="Y109" s="72">
        <f t="shared" si="18"/>
        <v>2.100099475159995</v>
      </c>
      <c r="Z109" s="67">
        <f aca="true" t="shared" si="19" ref="Z109:Z115">Y109-W109</f>
        <v>2.100099475159995</v>
      </c>
      <c r="AC109" s="71"/>
      <c r="AD109" s="68"/>
      <c r="AE109" s="68"/>
      <c r="AF109" s="75"/>
      <c r="AG109" s="75"/>
      <c r="AH109" s="75"/>
      <c r="AI109" s="75"/>
      <c r="AJ109" s="75"/>
      <c r="AK109" s="75"/>
      <c r="AL109" s="72"/>
      <c r="AR109" s="71"/>
      <c r="AS109" s="68"/>
      <c r="AT109" s="68"/>
      <c r="AU109" s="68"/>
      <c r="AV109" s="68"/>
      <c r="AW109" s="68"/>
      <c r="AX109" s="68"/>
      <c r="AY109" s="68"/>
      <c r="AZ109" s="68"/>
      <c r="BA109" s="72"/>
    </row>
    <row r="110" spans="1:53" ht="12">
      <c r="A110" s="54" t="s">
        <v>163</v>
      </c>
      <c r="B110" s="1"/>
      <c r="C110" s="7"/>
      <c r="W110" s="71">
        <f t="shared" si="18"/>
        <v>0</v>
      </c>
      <c r="X110" s="68">
        <f t="shared" si="18"/>
        <v>110.61565694029608</v>
      </c>
      <c r="Y110" s="72">
        <f t="shared" si="18"/>
        <v>1.1735228410754177</v>
      </c>
      <c r="Z110" s="67">
        <f t="shared" si="19"/>
        <v>1.1735228410754177</v>
      </c>
      <c r="AC110" s="71">
        <f>AR110</f>
        <v>0</v>
      </c>
      <c r="AD110" s="68"/>
      <c r="AE110" s="68"/>
      <c r="AF110" s="75"/>
      <c r="AG110" s="75"/>
      <c r="AH110" s="75"/>
      <c r="AI110" s="75"/>
      <c r="AJ110" s="75"/>
      <c r="AK110" s="75"/>
      <c r="AL110" s="72">
        <f>BA110</f>
        <v>0</v>
      </c>
      <c r="AR110" s="71">
        <v>0</v>
      </c>
      <c r="AS110" s="68"/>
      <c r="AT110" s="68"/>
      <c r="AU110" s="68"/>
      <c r="AV110" s="68"/>
      <c r="AW110" s="68"/>
      <c r="AX110" s="68"/>
      <c r="AY110" s="68"/>
      <c r="AZ110" s="68"/>
      <c r="BA110" s="72">
        <v>0</v>
      </c>
    </row>
    <row r="111" spans="1:53" ht="12">
      <c r="A111" s="108" t="s">
        <v>158</v>
      </c>
      <c r="B111" s="2">
        <f>murav(I72:I79,O72:O79,N72:N79,B72:B79,D72:D79,B4,B5,B6,F45,F46,B118,L20,B17,B18,1)</f>
        <v>3</v>
      </c>
      <c r="C111" s="7"/>
      <c r="D111" s="7" t="str">
        <f>"N° du cas de charge (poussée "&amp;VLOOKUP(B95,A72:D79,3)&amp;" et poids "&amp;VLOOKUP(B95,A72:D79,4)&amp;")"</f>
        <v>N° du cas de charge (poussée maxi et poids maxi)</v>
      </c>
      <c r="W111" s="71">
        <f t="shared" si="18"/>
        <v>0</v>
      </c>
      <c r="X111" s="68">
        <f t="shared" si="18"/>
        <v>75.29271944653377</v>
      </c>
      <c r="Y111" s="72">
        <f t="shared" si="18"/>
        <v>1.7240710782425597</v>
      </c>
      <c r="Z111" s="67">
        <f t="shared" si="19"/>
        <v>1.7240710782425597</v>
      </c>
      <c r="AC111" s="71">
        <f aca="true" t="shared" si="20" ref="AC111:AC118">AR111</f>
        <v>0</v>
      </c>
      <c r="AD111" s="68"/>
      <c r="AE111" s="68"/>
      <c r="AF111" s="75"/>
      <c r="AG111" s="75"/>
      <c r="AH111" s="75"/>
      <c r="AI111" s="75"/>
      <c r="AJ111" s="75"/>
      <c r="AK111" s="75"/>
      <c r="AL111" s="72">
        <f aca="true" t="shared" si="21" ref="AL111:AL118">BA111</f>
        <v>30</v>
      </c>
      <c r="AR111" s="71">
        <v>0</v>
      </c>
      <c r="AS111" s="68"/>
      <c r="AT111" s="68"/>
      <c r="AU111" s="68"/>
      <c r="AV111" s="68"/>
      <c r="AW111" s="68"/>
      <c r="AX111" s="68"/>
      <c r="AY111" s="68"/>
      <c r="AZ111" s="68"/>
      <c r="BA111" s="72">
        <f>B7*100</f>
        <v>30</v>
      </c>
    </row>
    <row r="112" spans="1:53" ht="12">
      <c r="A112" s="55" t="s">
        <v>160</v>
      </c>
      <c r="B112" s="5">
        <f>VLOOKUP(B111,A72:N79,14)</f>
        <v>110.61565694029608</v>
      </c>
      <c r="C112" s="7" t="s">
        <v>113</v>
      </c>
      <c r="D112" s="7" t="s">
        <v>195</v>
      </c>
      <c r="W112" s="71">
        <f t="shared" si="18"/>
        <v>0</v>
      </c>
      <c r="X112" s="68">
        <f t="shared" si="18"/>
        <v>81.40692765509124</v>
      </c>
      <c r="Y112" s="72">
        <f t="shared" si="18"/>
        <v>2.0034351460971767</v>
      </c>
      <c r="Z112" s="67">
        <f t="shared" si="19"/>
        <v>2.0034351460971767</v>
      </c>
      <c r="AC112" s="71">
        <f t="shared" si="20"/>
        <v>1.2</v>
      </c>
      <c r="AD112" s="68"/>
      <c r="AE112" s="68"/>
      <c r="AF112" s="75"/>
      <c r="AG112" s="75"/>
      <c r="AH112" s="75"/>
      <c r="AI112" s="75"/>
      <c r="AJ112" s="75"/>
      <c r="AK112" s="75"/>
      <c r="AL112" s="72">
        <f t="shared" si="21"/>
        <v>30</v>
      </c>
      <c r="AR112" s="71">
        <f>B4</f>
        <v>1.2</v>
      </c>
      <c r="AS112" s="68"/>
      <c r="AT112" s="68"/>
      <c r="AU112" s="68"/>
      <c r="AV112" s="68"/>
      <c r="AW112" s="68"/>
      <c r="AX112" s="68"/>
      <c r="AY112" s="68"/>
      <c r="AZ112" s="68"/>
      <c r="BA112" s="72">
        <f>BA111</f>
        <v>30</v>
      </c>
    </row>
    <row r="113" spans="1:53" ht="13.5">
      <c r="A113" s="6" t="s">
        <v>190</v>
      </c>
      <c r="B113" s="104">
        <f>murav(I72:I79,O72:O79,N72:N79,B72:B79,D72:D79,B4,B5,B6,F45,F46,B118,L20,B17,B18,5)</f>
        <v>1.1735228410754177</v>
      </c>
      <c r="C113" s="7" t="s">
        <v>23</v>
      </c>
      <c r="D113" s="58" t="s">
        <v>189</v>
      </c>
      <c r="W113" s="71">
        <f t="shared" si="18"/>
        <v>0</v>
      </c>
      <c r="X113" s="68">
        <f t="shared" si="18"/>
        <v>71.59113609978274</v>
      </c>
      <c r="Y113" s="72">
        <f t="shared" si="18"/>
        <v>2.278124204827292</v>
      </c>
      <c r="Z113" s="67">
        <f t="shared" si="19"/>
        <v>2.278124204827292</v>
      </c>
      <c r="AC113" s="71">
        <f t="shared" si="20"/>
        <v>1.2</v>
      </c>
      <c r="AD113" s="68"/>
      <c r="AE113" s="68"/>
      <c r="AF113" s="75"/>
      <c r="AG113" s="75"/>
      <c r="AH113" s="75"/>
      <c r="AI113" s="75"/>
      <c r="AJ113" s="75"/>
      <c r="AK113" s="75"/>
      <c r="AL113" s="72">
        <f t="shared" si="21"/>
        <v>0</v>
      </c>
      <c r="AR113" s="71">
        <f>AR112</f>
        <v>1.2</v>
      </c>
      <c r="AS113" s="68"/>
      <c r="AT113" s="68"/>
      <c r="AU113" s="68"/>
      <c r="AV113" s="68"/>
      <c r="AW113" s="68"/>
      <c r="AX113" s="68"/>
      <c r="AY113" s="68"/>
      <c r="AZ113" s="68"/>
      <c r="BA113" s="72">
        <v>0</v>
      </c>
    </row>
    <row r="114" spans="1:53" ht="13.5">
      <c r="A114" s="6" t="s">
        <v>191</v>
      </c>
      <c r="B114" s="104">
        <f>murav(I72:I79,O72:O79,N72:N79,B72:B79,D72:D79,B4,B5,B6,F45,F46,B118,L20,B17,B18,6)</f>
        <v>0.6132385794622911</v>
      </c>
      <c r="C114" s="7" t="s">
        <v>23</v>
      </c>
      <c r="D114" s="7" t="s">
        <v>192</v>
      </c>
      <c r="W114" s="71">
        <f t="shared" si="18"/>
        <v>0</v>
      </c>
      <c r="X114" s="68">
        <f t="shared" si="18"/>
        <v>73.99830709559663</v>
      </c>
      <c r="Y114" s="72">
        <f t="shared" si="18"/>
        <v>1.632604916811522</v>
      </c>
      <c r="Z114" s="67">
        <f t="shared" si="19"/>
        <v>1.632604916811522</v>
      </c>
      <c r="AC114" s="71"/>
      <c r="AD114" s="68"/>
      <c r="AE114" s="68"/>
      <c r="AF114" s="75"/>
      <c r="AG114" s="75"/>
      <c r="AH114" s="75"/>
      <c r="AI114" s="75"/>
      <c r="AJ114" s="75"/>
      <c r="AK114" s="75"/>
      <c r="AL114" s="72"/>
      <c r="AR114" s="71"/>
      <c r="AS114" s="68"/>
      <c r="AT114" s="68"/>
      <c r="AU114" s="68"/>
      <c r="AV114" s="68"/>
      <c r="AW114" s="68"/>
      <c r="AX114" s="68"/>
      <c r="AY114" s="68"/>
      <c r="AZ114" s="68"/>
      <c r="BA114" s="72"/>
    </row>
    <row r="115" spans="1:53" ht="13.5">
      <c r="A115" s="6" t="s">
        <v>167</v>
      </c>
      <c r="B115" s="5">
        <f>murav(I72:I79,O72:O79,N72:N79,B72:B79,D72:D79,B4,B5,B6,F45,F46,B118,L20,B17,B18,2)</f>
        <v>14.471999999999998</v>
      </c>
      <c r="C115" s="7" t="s">
        <v>24</v>
      </c>
      <c r="D115" s="58" t="s">
        <v>164</v>
      </c>
      <c r="W115" s="63">
        <f t="shared" si="18"/>
        <v>0</v>
      </c>
      <c r="X115" s="69">
        <f t="shared" si="18"/>
        <v>60.301427892660165</v>
      </c>
      <c r="Y115" s="14">
        <f t="shared" si="18"/>
        <v>2.003435146097177</v>
      </c>
      <c r="Z115" s="67">
        <f t="shared" si="19"/>
        <v>2.003435146097177</v>
      </c>
      <c r="AC115" s="71">
        <f t="shared" si="20"/>
        <v>1.5</v>
      </c>
      <c r="AD115" s="68"/>
      <c r="AE115" s="68"/>
      <c r="AF115" s="75"/>
      <c r="AG115" s="75"/>
      <c r="AH115" s="75"/>
      <c r="AI115" s="75"/>
      <c r="AJ115" s="75"/>
      <c r="AK115" s="75"/>
      <c r="AL115" s="72">
        <f t="shared" si="21"/>
        <v>0</v>
      </c>
      <c r="AR115" s="71">
        <f>B4+B5</f>
        <v>1.5</v>
      </c>
      <c r="AS115" s="68"/>
      <c r="AT115" s="68"/>
      <c r="AU115" s="68"/>
      <c r="AV115" s="68"/>
      <c r="AW115" s="68"/>
      <c r="AX115" s="68"/>
      <c r="AY115" s="68"/>
      <c r="AZ115" s="68"/>
      <c r="BA115" s="72">
        <v>0</v>
      </c>
    </row>
    <row r="116" spans="1:53" ht="13.5">
      <c r="A116" s="6" t="s">
        <v>159</v>
      </c>
      <c r="B116" s="5">
        <f>murav(I72:I79,O72:O79,N72:N79,B72:B79,D72:D79,B4,B5,B6,F45,F46,B118,L20,B17,B18,3)</f>
        <v>79.60450000000002</v>
      </c>
      <c r="C116" s="7" t="s">
        <v>24</v>
      </c>
      <c r="D116" s="58" t="s">
        <v>193</v>
      </c>
      <c r="I116" s="7"/>
      <c r="AC116" s="71">
        <f t="shared" si="20"/>
        <v>1.5</v>
      </c>
      <c r="AD116" s="68"/>
      <c r="AE116" s="68"/>
      <c r="AF116" s="75"/>
      <c r="AG116" s="75"/>
      <c r="AH116" s="75"/>
      <c r="AI116" s="75"/>
      <c r="AJ116" s="75"/>
      <c r="AK116" s="75"/>
      <c r="AL116" s="72">
        <f t="shared" si="21"/>
        <v>30</v>
      </c>
      <c r="AR116" s="71">
        <f>AR115</f>
        <v>1.5</v>
      </c>
      <c r="AS116" s="68"/>
      <c r="AT116" s="68"/>
      <c r="AU116" s="68"/>
      <c r="AV116" s="68"/>
      <c r="AW116" s="68"/>
      <c r="AX116" s="68"/>
      <c r="AY116" s="68"/>
      <c r="AZ116" s="68"/>
      <c r="BA116" s="72">
        <f>B9*100</f>
        <v>30</v>
      </c>
    </row>
    <row r="117" spans="1:53" ht="13.5">
      <c r="A117" s="98" t="s">
        <v>19</v>
      </c>
      <c r="B117" s="5">
        <f>(B115-B116)</f>
        <v>-65.13250000000002</v>
      </c>
      <c r="D117" s="58" t="s">
        <v>175</v>
      </c>
      <c r="AC117" s="71">
        <f t="shared" si="20"/>
        <v>2.4</v>
      </c>
      <c r="AD117" s="68"/>
      <c r="AE117" s="68"/>
      <c r="AF117" s="75"/>
      <c r="AG117" s="75"/>
      <c r="AH117" s="75"/>
      <c r="AI117" s="75"/>
      <c r="AJ117" s="75"/>
      <c r="AK117" s="75"/>
      <c r="AL117" s="72">
        <f t="shared" si="21"/>
        <v>30</v>
      </c>
      <c r="AR117" s="71">
        <f>B26</f>
        <v>2.4</v>
      </c>
      <c r="AS117" s="68"/>
      <c r="AT117" s="68"/>
      <c r="AU117" s="68"/>
      <c r="AV117" s="68"/>
      <c r="AW117" s="68"/>
      <c r="AX117" s="68"/>
      <c r="AY117" s="68"/>
      <c r="AZ117" s="68"/>
      <c r="BA117" s="72">
        <f>BA116</f>
        <v>30</v>
      </c>
    </row>
    <row r="118" spans="1:53" ht="13.5">
      <c r="A118" s="6" t="s">
        <v>134</v>
      </c>
      <c r="B118" s="2">
        <f>B7-B22/1000</f>
        <v>0.255</v>
      </c>
      <c r="C118" s="7" t="s">
        <v>23</v>
      </c>
      <c r="D118" s="58" t="s">
        <v>147</v>
      </c>
      <c r="W118" s="6" t="s">
        <v>161</v>
      </c>
      <c r="AC118" s="63">
        <f t="shared" si="20"/>
        <v>2.4</v>
      </c>
      <c r="AD118" s="69"/>
      <c r="AE118" s="69"/>
      <c r="AF118" s="76"/>
      <c r="AG118" s="76"/>
      <c r="AH118" s="76"/>
      <c r="AI118" s="76"/>
      <c r="AJ118" s="76"/>
      <c r="AK118" s="76"/>
      <c r="AL118" s="14">
        <f t="shared" si="21"/>
        <v>0</v>
      </c>
      <c r="AR118" s="63">
        <f>AR117</f>
        <v>2.4</v>
      </c>
      <c r="AS118" s="69"/>
      <c r="AT118" s="69"/>
      <c r="AU118" s="69"/>
      <c r="AV118" s="69"/>
      <c r="AW118" s="69"/>
      <c r="AX118" s="69"/>
      <c r="AY118" s="69"/>
      <c r="AZ118" s="69"/>
      <c r="BA118" s="14">
        <v>0</v>
      </c>
    </row>
    <row r="119" spans="1:24" ht="12">
      <c r="A119" s="55" t="s">
        <v>23</v>
      </c>
      <c r="B119" s="16">
        <f>ABS(B117)/1000/B118^2/L$20</f>
        <v>0.06009919261822377</v>
      </c>
      <c r="C119" s="7" t="s">
        <v>135</v>
      </c>
      <c r="D119" s="7" t="str">
        <f>IF(B119&lt;0.37,"OK","KO")</f>
        <v>OK</v>
      </c>
      <c r="V119" s="6" t="s">
        <v>157</v>
      </c>
      <c r="W119" s="94">
        <f aca="true" t="shared" si="22" ref="W119:W126">IF(W108=0,IF((Y108-B$4-B$5)&gt;0,X108*(Y108-B$4-B$5)^2/2),0)</f>
        <v>1.9885504108671546</v>
      </c>
      <c r="X119" s="1">
        <v>1</v>
      </c>
    </row>
    <row r="120" spans="1:24" ht="14.25">
      <c r="A120" s="55" t="s">
        <v>136</v>
      </c>
      <c r="B120" s="104">
        <f>1.25*(1-SQRT(1-2*B119))</f>
        <v>0.07752824210216017</v>
      </c>
      <c r="D120" s="59" t="s">
        <v>144</v>
      </c>
      <c r="W120" s="95">
        <f t="shared" si="22"/>
        <v>15.140887967366869</v>
      </c>
      <c r="X120" s="1">
        <v>2</v>
      </c>
    </row>
    <row r="121" spans="1:24" ht="13.5">
      <c r="A121" s="55" t="s">
        <v>138</v>
      </c>
      <c r="B121" s="5">
        <f>3.5*(1-B120)/B120</f>
        <v>41.64483890126124</v>
      </c>
      <c r="C121" s="1" t="str">
        <f>"≤ "&amp;0.9*T$20&amp;" ?"</f>
        <v>≤ 22,5 ?</v>
      </c>
      <c r="D121" s="58" t="s">
        <v>194</v>
      </c>
      <c r="W121" s="95" t="b">
        <f t="shared" si="22"/>
        <v>0</v>
      </c>
      <c r="X121" s="1">
        <v>3</v>
      </c>
    </row>
    <row r="122" spans="1:24" ht="13.5">
      <c r="A122" s="55" t="s">
        <v>139</v>
      </c>
      <c r="B122" s="5">
        <f>L21*(1+(0.05)*(MIN(B121,0.9*T20)-eso)/(25-eso))</f>
        <v>454.14078674948246</v>
      </c>
      <c r="C122" s="7" t="s">
        <v>103</v>
      </c>
      <c r="D122" s="7" t="s">
        <v>149</v>
      </c>
      <c r="W122" s="95">
        <f t="shared" si="22"/>
        <v>1.8901427106838167</v>
      </c>
      <c r="X122" s="1">
        <v>4</v>
      </c>
    </row>
    <row r="123" spans="1:24" ht="12">
      <c r="A123" s="6" t="s">
        <v>140</v>
      </c>
      <c r="B123" s="2">
        <f>B118*(1-0.4*B120)</f>
        <v>0.24709211930557967</v>
      </c>
      <c r="C123" s="7" t="s">
        <v>23</v>
      </c>
      <c r="D123" s="58" t="s">
        <v>148</v>
      </c>
      <c r="W123" s="95">
        <f t="shared" si="22"/>
        <v>10.31616861197758</v>
      </c>
      <c r="X123" s="1">
        <v>5</v>
      </c>
    </row>
    <row r="124" spans="1:24" ht="14.25">
      <c r="A124" s="6" t="s">
        <v>141</v>
      </c>
      <c r="B124" s="5">
        <f>-B117/B123/B122*10</f>
        <v>5.804279880563822</v>
      </c>
      <c r="C124" s="7" t="s">
        <v>142</v>
      </c>
      <c r="D124" s="58" t="s">
        <v>150</v>
      </c>
      <c r="F124" s="7" t="s">
        <v>168</v>
      </c>
      <c r="W124" s="95">
        <f t="shared" si="22"/>
        <v>21.673403112255563</v>
      </c>
      <c r="X124" s="1">
        <v>6</v>
      </c>
    </row>
    <row r="125" spans="1:24" ht="12">
      <c r="A125" s="6"/>
      <c r="B125" s="97"/>
      <c r="C125" s="7"/>
      <c r="D125" s="58"/>
      <c r="W125" s="95">
        <f t="shared" si="22"/>
        <v>0.6505954825461994</v>
      </c>
      <c r="X125" s="1">
        <v>7</v>
      </c>
    </row>
    <row r="126" spans="1:24" ht="12">
      <c r="A126" s="6"/>
      <c r="B126" s="97"/>
      <c r="C126" s="7"/>
      <c r="D126" s="58"/>
      <c r="W126" s="96">
        <f t="shared" si="22"/>
        <v>7.641606379242664</v>
      </c>
      <c r="X126" s="1">
        <v>8</v>
      </c>
    </row>
    <row r="127" spans="1:23" ht="12">
      <c r="A127" s="6"/>
      <c r="B127" s="97"/>
      <c r="C127" s="7"/>
      <c r="D127" s="58"/>
      <c r="V127" s="6" t="s">
        <v>158</v>
      </c>
      <c r="W127" s="13">
        <f>noj(W119:W126,B100)</f>
        <v>1</v>
      </c>
    </row>
    <row r="128" spans="22:23" ht="13.5">
      <c r="V128" s="24" t="s">
        <v>99</v>
      </c>
      <c r="W128" s="41">
        <f>ROUND(INDEX(W108:Z115,W127,4),3)</f>
        <v>1.695</v>
      </c>
    </row>
    <row r="129" spans="22:23" ht="12">
      <c r="V129" s="23" t="s">
        <v>100</v>
      </c>
      <c r="W129" s="41">
        <f>ROUND(INDEX(W108:Z115,W127,2),1)</f>
        <v>104.2</v>
      </c>
    </row>
    <row r="130" spans="22:23" ht="13.5">
      <c r="V130" s="6" t="s">
        <v>165</v>
      </c>
      <c r="W130" s="96">
        <f>MAX(W119:W126)</f>
        <v>21.673403112255563</v>
      </c>
    </row>
    <row r="131" spans="25:26" ht="12">
      <c r="Y131" s="1" t="s">
        <v>172</v>
      </c>
      <c r="Z131" s="1" t="s">
        <v>173</v>
      </c>
    </row>
    <row r="132" spans="23:26" ht="13.5">
      <c r="W132" s="6" t="s">
        <v>162</v>
      </c>
      <c r="X132" s="1" t="s">
        <v>166</v>
      </c>
      <c r="Y132" s="100" t="s">
        <v>170</v>
      </c>
      <c r="Z132" s="1" t="s">
        <v>169</v>
      </c>
    </row>
    <row r="133" spans="21:27" ht="12">
      <c r="U133" s="1"/>
      <c r="V133" s="6" t="s">
        <v>157</v>
      </c>
      <c r="W133" s="13">
        <f aca="true" t="shared" si="23" ref="W133:W140">IF(W108=0,Z96,B$26)</f>
        <v>1.6954035680814972</v>
      </c>
      <c r="X133" s="67">
        <f>MIN(B$4,Y108)</f>
        <v>1.2</v>
      </c>
      <c r="Y133" s="66">
        <f>X133*X108*(B$4-X133/2)</f>
        <v>74.99531226295501</v>
      </c>
      <c r="Z133" s="93">
        <f aca="true" t="shared" si="24" ref="Z133:Z140">(F$45+F$46)*AA133*$B$4/2</f>
        <v>19.5372</v>
      </c>
      <c r="AA133">
        <f>B17</f>
        <v>1.35</v>
      </c>
    </row>
    <row r="134" spans="23:27" ht="12">
      <c r="W134" s="41">
        <f t="shared" si="23"/>
        <v>2.100099475159995</v>
      </c>
      <c r="X134" s="67">
        <f aca="true" t="shared" si="25" ref="X134:X140">MIN(B$4,Y109)</f>
        <v>1.2</v>
      </c>
      <c r="Y134" s="66">
        <f aca="true" t="shared" si="26" ref="Y134:Y140">X134*X109*(B$4-X134/2)</f>
        <v>60.543474965781485</v>
      </c>
      <c r="Z134" s="93">
        <f t="shared" si="24"/>
        <v>19.5372</v>
      </c>
      <c r="AA134">
        <f>AA133</f>
        <v>1.35</v>
      </c>
    </row>
    <row r="135" spans="23:27" ht="12">
      <c r="W135" s="41">
        <f t="shared" si="23"/>
        <v>1.1735228410754177</v>
      </c>
      <c r="X135" s="67">
        <f t="shared" si="25"/>
        <v>1.1735228410754177</v>
      </c>
      <c r="Y135" s="66">
        <f t="shared" si="26"/>
        <v>79.60450000000002</v>
      </c>
      <c r="Z135" s="93">
        <f t="shared" si="24"/>
        <v>14.471999999999998</v>
      </c>
      <c r="AA135">
        <v>1</v>
      </c>
    </row>
    <row r="136" spans="23:27" ht="12">
      <c r="W136" s="41">
        <f t="shared" si="23"/>
        <v>1.7240710782425597</v>
      </c>
      <c r="X136" s="67">
        <f t="shared" si="25"/>
        <v>1.2</v>
      </c>
      <c r="Y136" s="66">
        <f t="shared" si="26"/>
        <v>54.21075800150431</v>
      </c>
      <c r="Z136" s="93">
        <f t="shared" si="24"/>
        <v>14.471999999999998</v>
      </c>
      <c r="AA136">
        <v>1</v>
      </c>
    </row>
    <row r="137" spans="23:27" ht="12">
      <c r="W137" s="41">
        <f t="shared" si="23"/>
        <v>2.0034351460971767</v>
      </c>
      <c r="X137" s="67">
        <f t="shared" si="25"/>
        <v>1.2</v>
      </c>
      <c r="Y137" s="66">
        <f t="shared" si="26"/>
        <v>58.612987911665684</v>
      </c>
      <c r="Z137" s="93">
        <f t="shared" si="24"/>
        <v>19.5372</v>
      </c>
      <c r="AA137">
        <f>AA133</f>
        <v>1.35</v>
      </c>
    </row>
    <row r="138" spans="23:27" ht="12">
      <c r="W138" s="41">
        <f t="shared" si="23"/>
        <v>2.278124204827292</v>
      </c>
      <c r="X138" s="67">
        <f t="shared" si="25"/>
        <v>1.2</v>
      </c>
      <c r="Y138" s="66">
        <f t="shared" si="26"/>
        <v>51.54561799184357</v>
      </c>
      <c r="Z138" s="93">
        <f t="shared" si="24"/>
        <v>19.5372</v>
      </c>
      <c r="AA138">
        <f>AA134</f>
        <v>1.35</v>
      </c>
    </row>
    <row r="139" spans="23:27" ht="12">
      <c r="W139" s="41">
        <f t="shared" si="23"/>
        <v>1.632604916811522</v>
      </c>
      <c r="X139" s="67">
        <f t="shared" si="25"/>
        <v>1.2</v>
      </c>
      <c r="Y139" s="66">
        <f t="shared" si="26"/>
        <v>53.27878110882957</v>
      </c>
      <c r="Z139" s="93">
        <f t="shared" si="24"/>
        <v>14.471999999999998</v>
      </c>
      <c r="AA139">
        <f>AA135</f>
        <v>1</v>
      </c>
    </row>
    <row r="140" spans="23:27" ht="12">
      <c r="W140" s="11">
        <f t="shared" si="23"/>
        <v>2.003435146097177</v>
      </c>
      <c r="X140" s="67">
        <f t="shared" si="25"/>
        <v>1.2</v>
      </c>
      <c r="Y140" s="66">
        <f t="shared" si="26"/>
        <v>43.41702808271531</v>
      </c>
      <c r="Z140" s="93">
        <f t="shared" si="24"/>
        <v>14.471999999999998</v>
      </c>
      <c r="AA140">
        <f>AA136</f>
        <v>1</v>
      </c>
    </row>
    <row r="141" spans="22:23" ht="12">
      <c r="V141" s="6" t="s">
        <v>158</v>
      </c>
      <c r="W141" s="13">
        <f>noj(Y133:Y140,W144)</f>
        <v>3</v>
      </c>
    </row>
    <row r="142" spans="22:27" ht="13.5">
      <c r="V142" s="24" t="s">
        <v>166</v>
      </c>
      <c r="W142" s="41">
        <f>INDEX(X133:X140,$W141,1)</f>
        <v>1.1735228410754177</v>
      </c>
      <c r="Y142" s="2">
        <f>INDEX(Y133:Y140,$W141,1)</f>
        <v>79.60450000000002</v>
      </c>
      <c r="Z142" s="2">
        <f>INDEX(Z133:Z140,$W141,1)</f>
        <v>14.471999999999998</v>
      </c>
      <c r="AA142" s="41"/>
    </row>
    <row r="143" spans="22:26" ht="12">
      <c r="V143" s="23" t="s">
        <v>100</v>
      </c>
      <c r="W143" s="41">
        <f>INDEX(X108:X115,W141)</f>
        <v>110.61565694029608</v>
      </c>
      <c r="Y143" s="1">
        <f>ROUND(Y142,2)</f>
        <v>79.6</v>
      </c>
      <c r="Z143" s="1">
        <f>ROUND(Z142,2)</f>
        <v>14.47</v>
      </c>
    </row>
    <row r="144" spans="22:23" ht="13.5">
      <c r="V144" s="6" t="s">
        <v>165</v>
      </c>
      <c r="W144" s="51">
        <f>MAX(Y133:Y140)</f>
        <v>79.60450000000002</v>
      </c>
    </row>
    <row r="145" ht="12">
      <c r="W145" s="13" t="s">
        <v>171</v>
      </c>
    </row>
    <row r="146" ht="12">
      <c r="W146" s="41">
        <f>ROUND(W142,3)</f>
        <v>1.174</v>
      </c>
    </row>
    <row r="147" ht="12">
      <c r="W147" s="41">
        <f>ROUND(W143,1)</f>
        <v>110.6</v>
      </c>
    </row>
    <row r="148" spans="19:23" ht="12">
      <c r="S148" s="99"/>
      <c r="W148" s="51">
        <f>ROUND(W144,2)</f>
        <v>79.6</v>
      </c>
    </row>
  </sheetData>
  <sheetProtection password="DE57" sheet="1" objects="1" scenarios="1" selectLockedCells="1"/>
  <mergeCells count="1">
    <mergeCell ref="B33:C33"/>
  </mergeCells>
  <conditionalFormatting sqref="A58">
    <cfRule type="cellIs" priority="1" dxfId="1" operator="equal" stopIfTrue="1">
      <formula>"KO"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87" r:id="rId9"/>
  <rowBreaks count="2" manualBreakCount="2">
    <brk id="66" max="15" man="1"/>
    <brk id="124" max="15" man="1"/>
  </rowBreaks>
  <drawing r:id="rId8"/>
  <legacyDrawing r:id="rId7"/>
  <oleObjects>
    <oleObject progId="Designer.Drawing.7" shapeId="131734" r:id="rId2"/>
    <oleObject progId="Equation.3" shapeId="1660484" r:id="rId3"/>
    <oleObject progId="Designer.Drawing.7" shapeId="1891720" r:id="rId4"/>
    <oleObject progId="Designer.Drawing.7" shapeId="1898371" r:id="rId5"/>
    <oleObject progId="Designer.Drawing.7" shapeId="1900052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mactho1</dc:creator>
  <cp:keywords/>
  <dc:description/>
  <cp:lastModifiedBy>Gelee Christian</cp:lastModifiedBy>
  <dcterms:created xsi:type="dcterms:W3CDTF">2010-05-01T14:33:40Z</dcterms:created>
  <dcterms:modified xsi:type="dcterms:W3CDTF">2014-05-17T10:43:40Z</dcterms:modified>
  <cp:category/>
  <cp:version/>
  <cp:contentType/>
  <cp:contentStatus/>
</cp:coreProperties>
</file>